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gel\Desktop\Informacion pagina WEB - Gloval. Rev.0\Herramientas\Seleccion Tuberias para Vapor\"/>
    </mc:Choice>
  </mc:AlternateContent>
  <xr:revisionPtr revIDLastSave="0" documentId="8_{65F157E0-B4E8-4C3D-82B7-80A591489E6D}" xr6:coauthVersionLast="45" xr6:coauthVersionMax="45" xr10:uidLastSave="{00000000-0000-0000-0000-000000000000}"/>
  <bookViews>
    <workbookView xWindow="-120" yWindow="-120" windowWidth="20730" windowHeight="11160" tabRatio="856" xr2:uid="{00000000-000D-0000-FFFF-FFFF00000000}"/>
  </bookViews>
  <sheets>
    <sheet name="STEAM SPEED IN PIPE" sheetId="1" r:id="rId1"/>
    <sheet name="STEAM JACKETED EQUIP." sheetId="6" r:id="rId2"/>
    <sheet name="WATER SPEED IN PIPE" sheetId="7" r:id="rId3"/>
    <sheet name="Hoja1" sheetId="8" r:id="rId4"/>
    <sheet name="Cv valve for steam SPENCE" sheetId="9" r:id="rId5"/>
    <sheet name="Valve Kv for calculations" sheetId="10" r:id="rId6"/>
  </sheets>
  <definedNames>
    <definedName name="Flujo_vapor" comment="Ingrese caudal">'STEAM SPEED IN PIPE'!$K$3</definedName>
    <definedName name="gaugepress">#REF!</definedName>
    <definedName name="PressMan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AB46" i="1"/>
  <c r="AB47" i="1"/>
  <c r="AB48" i="1"/>
  <c r="AB49" i="1"/>
  <c r="AB50" i="1"/>
  <c r="AB51" i="1"/>
  <c r="AB52" i="1"/>
  <c r="AB53" i="1"/>
  <c r="AB54" i="1"/>
  <c r="F7" i="1" s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45" i="1"/>
  <c r="G14" i="8" l="1"/>
  <c r="G7" i="8" s="1"/>
  <c r="I7" i="8" s="1"/>
  <c r="S36" i="7" l="1"/>
  <c r="S35" i="7"/>
  <c r="S34" i="7"/>
  <c r="S33" i="7"/>
  <c r="S32" i="7"/>
  <c r="S31" i="7"/>
  <c r="S30" i="7"/>
  <c r="S29" i="7"/>
  <c r="S28" i="7"/>
  <c r="S27" i="7"/>
  <c r="S26" i="7"/>
  <c r="S24" i="7"/>
  <c r="S23" i="7"/>
  <c r="S22" i="7"/>
  <c r="S21" i="7"/>
  <c r="S20" i="7"/>
  <c r="S19" i="7"/>
  <c r="S18" i="7"/>
  <c r="S17" i="7"/>
  <c r="S16" i="7"/>
  <c r="S15" i="7"/>
  <c r="S14" i="7"/>
  <c r="S12" i="7"/>
  <c r="S11" i="7"/>
  <c r="S10" i="7"/>
  <c r="S9" i="7"/>
  <c r="S8" i="7"/>
  <c r="S7" i="7"/>
  <c r="S6" i="7"/>
  <c r="S5" i="7"/>
  <c r="O48" i="7"/>
  <c r="O47" i="7"/>
  <c r="O46" i="7"/>
  <c r="O44" i="7"/>
  <c r="O43" i="7"/>
  <c r="O42" i="7"/>
  <c r="O41" i="7"/>
  <c r="O40" i="7"/>
  <c r="O39" i="7"/>
  <c r="O38" i="7"/>
  <c r="K48" i="7"/>
  <c r="K47" i="7"/>
  <c r="K46" i="7"/>
  <c r="K45" i="7"/>
  <c r="K43" i="7"/>
  <c r="K42" i="7"/>
  <c r="K41" i="7"/>
  <c r="K40" i="7"/>
  <c r="K39" i="7"/>
  <c r="K38" i="7"/>
  <c r="O37" i="7"/>
  <c r="O36" i="7"/>
  <c r="O35" i="7"/>
  <c r="O34" i="7"/>
  <c r="O33" i="7"/>
  <c r="O31" i="7"/>
  <c r="O30" i="7"/>
  <c r="O29" i="7"/>
  <c r="O28" i="7"/>
  <c r="O27" i="7"/>
  <c r="K37" i="7"/>
  <c r="K36" i="7"/>
  <c r="K35" i="7"/>
  <c r="K34" i="7"/>
  <c r="K33" i="7"/>
  <c r="K32" i="7"/>
  <c r="K30" i="7"/>
  <c r="K29" i="7"/>
  <c r="K28" i="7"/>
  <c r="K27" i="7"/>
  <c r="O26" i="7"/>
  <c r="O25" i="7"/>
  <c r="O24" i="7"/>
  <c r="O23" i="7"/>
  <c r="O22" i="7"/>
  <c r="O21" i="7"/>
  <c r="O20" i="7"/>
  <c r="O18" i="7"/>
  <c r="O17" i="7"/>
  <c r="O16" i="7"/>
  <c r="O15" i="7"/>
  <c r="O14" i="7"/>
  <c r="O13" i="7"/>
  <c r="O12" i="7"/>
  <c r="O11" i="7"/>
  <c r="O10" i="7"/>
  <c r="O9" i="7"/>
  <c r="O8" i="7"/>
  <c r="O6" i="7"/>
  <c r="O5" i="7"/>
  <c r="K26" i="7"/>
  <c r="K25" i="7"/>
  <c r="K24" i="7"/>
  <c r="K23" i="7"/>
  <c r="K22" i="7"/>
  <c r="K21" i="7"/>
  <c r="K20" i="7"/>
  <c r="K19" i="7"/>
  <c r="K18" i="7"/>
  <c r="K16" i="7"/>
  <c r="K15" i="7"/>
  <c r="K14" i="7"/>
  <c r="K13" i="7"/>
  <c r="K12" i="7"/>
  <c r="K11" i="7"/>
  <c r="K10" i="7"/>
  <c r="K9" i="7"/>
  <c r="K8" i="7"/>
  <c r="K7" i="7"/>
  <c r="K6" i="7"/>
  <c r="G21" i="7"/>
  <c r="G22" i="7" s="1"/>
  <c r="G15" i="7"/>
  <c r="G17" i="7" s="1"/>
  <c r="B9" i="7"/>
  <c r="G3" i="7" s="1"/>
  <c r="H3" i="7" s="1"/>
  <c r="K4" i="1" l="1"/>
  <c r="K13" i="1" s="1"/>
  <c r="E23" i="6" l="1"/>
  <c r="I19" i="6"/>
  <c r="E20" i="6" s="1"/>
  <c r="I6" i="6"/>
  <c r="E7" i="6" s="1"/>
  <c r="M12" i="6" l="1"/>
  <c r="M3" i="6"/>
  <c r="E4" i="6" l="1"/>
  <c r="E17" i="6"/>
  <c r="E16" i="6" s="1"/>
  <c r="L18" i="6" s="1"/>
  <c r="F12" i="1" l="1"/>
  <c r="F4" i="1"/>
  <c r="E3" i="6" l="1"/>
  <c r="L19" i="6" l="1"/>
  <c r="L17" i="6" s="1"/>
  <c r="F14" i="1"/>
  <c r="F13" i="1" s="1"/>
  <c r="F5" i="1"/>
  <c r="F3" i="1" s="1"/>
  <c r="G3" i="1" s="1"/>
  <c r="H3" i="1" s="1"/>
  <c r="E10" i="6"/>
  <c r="E11" i="6" s="1"/>
  <c r="H13" i="1" l="1"/>
</calcChain>
</file>

<file path=xl/sharedStrings.xml><?xml version="1.0" encoding="utf-8"?>
<sst xmlns="http://schemas.openxmlformats.org/spreadsheetml/2006/main" count="287" uniqueCount="119">
  <si>
    <t>hook ups engineering formula</t>
  </si>
  <si>
    <t>pies cubicos/libra</t>
  </si>
  <si>
    <t>A area interna de tubo (")</t>
  </si>
  <si>
    <t>TLV web formula</t>
  </si>
  <si>
    <t>d diamtro int tubo (")</t>
  </si>
  <si>
    <t>ms flujo de vapor (lb/h)</t>
  </si>
  <si>
    <t>v velocidad vapor (ft/sec)</t>
  </si>
  <si>
    <t>V volumen especifico</t>
  </si>
  <si>
    <t>ft/sec</t>
  </si>
  <si>
    <t>m/s</t>
  </si>
  <si>
    <t>[lb/h]</t>
  </si>
  <si>
    <t>[pie3/lb]</t>
  </si>
  <si>
    <t>[pulg]</t>
  </si>
  <si>
    <t>Diam int tub</t>
  </si>
  <si>
    <t>Volum spec</t>
  </si>
  <si>
    <t>Flujo vapor</t>
  </si>
  <si>
    <t>Q=</t>
  </si>
  <si>
    <r>
      <t>p</t>
    </r>
    <r>
      <rPr>
        <vertAlign val="subscript"/>
        <sz val="11"/>
        <color theme="1"/>
        <rFont val="Calibri"/>
        <family val="2"/>
        <scheme val="minor"/>
      </rPr>
      <t>outlet</t>
    </r>
  </si>
  <si>
    <t>[psig]</t>
  </si>
  <si>
    <t>Galones de líquido a ser calentado</t>
  </si>
  <si>
    <t>G</t>
  </si>
  <si>
    <t>Gravedad específica del líquido</t>
  </si>
  <si>
    <t>s.g.</t>
  </si>
  <si>
    <t>Calor específico del líquido</t>
  </si>
  <si>
    <r>
      <t>C</t>
    </r>
    <r>
      <rPr>
        <vertAlign val="subscript"/>
        <sz val="11"/>
        <color theme="1"/>
        <rFont val="Calibri"/>
        <family val="2"/>
        <scheme val="minor"/>
      </rPr>
      <t>p</t>
    </r>
  </si>
  <si>
    <t>Incremento de temperatura del</t>
  </si>
  <si>
    <t>líquido en ºF</t>
  </si>
  <si>
    <t>ΔT</t>
  </si>
  <si>
    <t>Calor latente del vapor en Btu/lb</t>
  </si>
  <si>
    <t>L</t>
  </si>
  <si>
    <t>Tiempo en horas</t>
  </si>
  <si>
    <t>t</t>
  </si>
  <si>
    <r>
      <t>1 m</t>
    </r>
    <r>
      <rPr>
        <vertAlign val="superscript"/>
        <sz val="11"/>
        <color theme="1"/>
        <rFont val="Calibri"/>
        <family val="2"/>
        <scheme val="minor"/>
      </rPr>
      <t>3</t>
    </r>
  </si>
  <si>
    <t>=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</si>
  <si>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</si>
  <si>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Gal</t>
  </si>
  <si>
    <t>lb/h de condensado</t>
  </si>
  <si>
    <t>lb/h</t>
  </si>
  <si>
    <t>Tfinal ºC</t>
  </si>
  <si>
    <t>Tinicial ºC</t>
  </si>
  <si>
    <t>ΔT ºC</t>
  </si>
  <si>
    <t>Presión psig</t>
  </si>
  <si>
    <t>kJ/kg</t>
  </si>
  <si>
    <t>SI</t>
  </si>
  <si>
    <t>IMP</t>
  </si>
  <si>
    <t>BTU/lb ºF</t>
  </si>
  <si>
    <t>CALCULAR TIEMPO</t>
  </si>
  <si>
    <t>CALCULAR CONDENSADO</t>
  </si>
  <si>
    <t>minutos</t>
  </si>
  <si>
    <r>
      <rPr>
        <b/>
        <sz val="8"/>
        <color rgb="FF1F221D"/>
        <rFont val="Arial"/>
        <family val="2"/>
      </rPr>
      <t>Heat</t>
    </r>
    <r>
      <rPr>
        <b/>
        <sz val="8"/>
        <color rgb="FF1F221D"/>
        <rFont val="Arial"/>
        <family val="2"/>
      </rPr>
      <t xml:space="preserve"> </t>
    </r>
    <r>
      <rPr>
        <b/>
        <sz val="8"/>
        <color rgb="FF1F221D"/>
        <rFont val="Arial"/>
        <family val="2"/>
      </rPr>
      <t>in</t>
    </r>
    <r>
      <rPr>
        <b/>
        <sz val="8"/>
        <color rgb="FF1F221D"/>
        <rFont val="Arial"/>
        <family val="2"/>
      </rPr>
      <t xml:space="preserve"> </t>
    </r>
    <r>
      <rPr>
        <b/>
        <sz val="8"/>
        <color rgb="FF1F221D"/>
        <rFont val="Arial"/>
        <family val="2"/>
      </rPr>
      <t>Btu/lb.</t>
    </r>
  </si>
  <si>
    <t>PSIG</t>
  </si>
  <si>
    <t>°F</t>
  </si>
  <si>
    <t>Sensible</t>
  </si>
  <si>
    <t>Latent</t>
  </si>
  <si>
    <t>Total</t>
  </si>
  <si>
    <t>Gauge
Pressure
PSIG</t>
  </si>
  <si>
    <t xml:space="preserve">Temper- ature </t>
  </si>
  <si>
    <t xml:space="preserve">Specific Volume </t>
  </si>
  <si>
    <t>Cu. ft. Per lb.</t>
  </si>
  <si>
    <t>PRESIÓN MANOMÉTRICA (PSIG)</t>
  </si>
  <si>
    <t>PRESIÓN ABSOLUTA (PSIA)</t>
  </si>
  <si>
    <t>TEMP. DEL VAPOR (°F)</t>
  </si>
  <si>
    <t>CALOR DE LÍQUIDO SAT. (BTU/LB)</t>
  </si>
  <si>
    <t>CALOR LATENTE (BTU/LB)</t>
  </si>
  <si>
    <t>CALOR TOTAL DEL VAPOR (BTU/LB)</t>
  </si>
  <si>
    <t>VOLUMEN ESPECÍFICO DE LÍQUIDO SAT. (PIES3/LB)</t>
  </si>
  <si>
    <t>VOLUMEN ESPECÍFICO DE VAPOR SAT. (PIES3/LB)</t>
  </si>
  <si>
    <t>1172.0</t>
  </si>
  <si>
    <t>d</t>
  </si>
  <si>
    <r>
      <t>Q</t>
    </r>
    <r>
      <rPr>
        <i/>
        <vertAlign val="subscript"/>
        <sz val="11"/>
        <color theme="1"/>
        <rFont val="Calibri"/>
        <family val="2"/>
        <scheme val="minor"/>
      </rPr>
      <t xml:space="preserve">w </t>
    </r>
  </si>
  <si>
    <t xml:space="preserve">v </t>
  </si>
  <si>
    <t>[ft/sec]=</t>
  </si>
  <si>
    <t>[gal/h]=</t>
  </si>
  <si>
    <t>[inch]=</t>
  </si>
  <si>
    <t>pi=</t>
  </si>
  <si>
    <t>CÁLCULO DE VELOCIDAD</t>
  </si>
  <si>
    <t>CÁLCULO DE DIÁMETRO</t>
  </si>
  <si>
    <t>CÁLCULO DE CAUDAL</t>
  </si>
  <si>
    <t>UNIDADES</t>
  </si>
  <si>
    <t>OBTENIDA</t>
  </si>
  <si>
    <t>INGRESADA</t>
  </si>
  <si>
    <t>gph</t>
  </si>
  <si>
    <r>
      <t>ft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/s</t>
    </r>
  </si>
  <si>
    <t>xx</t>
  </si>
  <si>
    <t>gps</t>
  </si>
  <si>
    <t>l/s</t>
  </si>
  <si>
    <r>
      <t>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/min</t>
    </r>
  </si>
  <si>
    <r>
      <t>ft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/min</t>
    </r>
  </si>
  <si>
    <t>gpm</t>
  </si>
  <si>
    <t>l/min</t>
  </si>
  <si>
    <r>
      <t>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/h</t>
    </r>
  </si>
  <si>
    <r>
      <t>ft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/h</t>
    </r>
  </si>
  <si>
    <t>l/h</t>
  </si>
  <si>
    <r>
      <t>ft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/s</t>
    </r>
  </si>
  <si>
    <r>
      <t>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/h</t>
    </r>
  </si>
  <si>
    <r>
      <t>ft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/h</t>
    </r>
  </si>
  <si>
    <r>
      <t>m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/min</t>
    </r>
  </si>
  <si>
    <r>
      <t>ft</t>
    </r>
    <r>
      <rPr>
        <b/>
        <i/>
        <vertAlign val="superscript"/>
        <sz val="11"/>
        <color theme="1"/>
        <rFont val="Calibri"/>
        <family val="2"/>
        <scheme val="minor"/>
      </rPr>
      <t>3</t>
    </r>
    <r>
      <rPr>
        <b/>
        <i/>
        <sz val="11"/>
        <color theme="1"/>
        <rFont val="Calibri"/>
        <family val="2"/>
        <scheme val="minor"/>
      </rPr>
      <t>/min</t>
    </r>
  </si>
  <si>
    <t>ENERGY BALANCE BETWEEN STEAM AND  SECONDARY FLUID ON NON-FLOW PROCESS</t>
  </si>
  <si>
    <r>
      <t>T</t>
    </r>
    <r>
      <rPr>
        <vertAlign val="subscript"/>
        <sz val="11"/>
        <color theme="1"/>
        <rFont val="Calibri"/>
        <family val="2"/>
        <scheme val="minor"/>
      </rPr>
      <t>f</t>
    </r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</si>
  <si>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0  </t>
    </r>
  </si>
  <si>
    <t>a 128 psig</t>
  </si>
  <si>
    <t>STEAM (MASS)</t>
  </si>
  <si>
    <t>FLUJO SUBCRÍTICO</t>
  </si>
  <si>
    <t>TUBERÍA CÉDULA 40</t>
  </si>
  <si>
    <t>diámetro nominal (")</t>
  </si>
  <si>
    <t>SCH 40</t>
  </si>
  <si>
    <t>área interna tubería (mm2)</t>
  </si>
  <si>
    <t>diámetro interior (")</t>
  </si>
  <si>
    <t>vs volumen especifico pies cubicos/libra</t>
  </si>
  <si>
    <t>Q flujo [libras/hora vapor]=</t>
  </si>
  <si>
    <t>V velocity [ft/min]=</t>
  </si>
  <si>
    <t>[ft/sec]</t>
  </si>
  <si>
    <t>[m/s]</t>
  </si>
  <si>
    <t>Para una velocidad de flujo menor o igual a 30m/s</t>
  </si>
  <si>
    <t>Variable</t>
  </si>
  <si>
    <t>V volumen especifico pies cubicos/libra</t>
  </si>
  <si>
    <t>CAUDAL DE VAPOR SATURADO, DE ACUERDO AL DIÁMETRO Y PRESIÓN SELECCIONADOS (ARRIBA), PARA UNA VELOCIDAD DE FLUJO DE 30 m/s</t>
  </si>
  <si>
    <t xml:space="preserve">CÁLCULO DE VELOCIDAD DE VAPOR SATURADO EN TUBERÍA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</si>
</sst>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000"/>
    <numFmt numFmtId="165" formatCode="#,##0.00000"/>
    <numFmt numFmtId="166" formatCode="#,##0.000000"/>
    <numFmt numFmtId="167" formatCode="0.000000"/>
    <numFmt numFmtId="168" formatCode="#,##0.00000000"/>
    <numFmt numFmtId="169" formatCode="0.00000000"/>
  </numFmts>
  <fonts count="17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8"/>
      <color rgb="FF1F221D"/>
      <name val="Arial"/>
      <family val="2"/>
    </font>
    <font>
      <sz val="8"/>
      <color rgb="FF1F221D"/>
      <name val="Arial"/>
      <family val="2"/>
    </font>
    <font>
      <sz val="8"/>
      <color rgb="FFFFFFFF"/>
      <name val="ProximaNovaA-Regular"/>
    </font>
    <font>
      <sz val="8"/>
      <color rgb="FF3C3B3B"/>
      <name val="ProximaNovaA-Regula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8EA"/>
      </patternFill>
    </fill>
    <fill>
      <patternFill patternType="solid">
        <fgColor rgb="FFFFFFFF"/>
        <bgColor indexed="64"/>
      </patternFill>
    </fill>
    <fill>
      <patternFill patternType="solid">
        <fgColor rgb="FF3B3C3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Protection="1">
      <protection locked="0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0" fillId="0" borderId="6" xfId="0" applyBorder="1" applyProtection="1"/>
    <xf numFmtId="0" fontId="0" fillId="3" borderId="0" xfId="0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0" xfId="0" applyBorder="1" applyProtection="1">
      <protection locked="0"/>
    </xf>
    <xf numFmtId="0" fontId="0" fillId="0" borderId="0" xfId="0" applyBorder="1"/>
    <xf numFmtId="0" fontId="0" fillId="0" borderId="0" xfId="0" applyFill="1" applyBorder="1" applyProtection="1"/>
    <xf numFmtId="0" fontId="0" fillId="3" borderId="2" xfId="0" applyFill="1" applyBorder="1"/>
    <xf numFmtId="0" fontId="0" fillId="3" borderId="3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2" fillId="0" borderId="0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0" xfId="0" applyNumberFormat="1"/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Protection="1">
      <protection locked="0"/>
    </xf>
    <xf numFmtId="2" fontId="4" fillId="4" borderId="1" xfId="0" applyNumberFormat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/>
    </xf>
    <xf numFmtId="2" fontId="4" fillId="4" borderId="12" xfId="0" applyNumberFormat="1" applyFont="1" applyFill="1" applyBorder="1" applyAlignment="1">
      <alignment vertical="center"/>
    </xf>
    <xf numFmtId="2" fontId="5" fillId="4" borderId="12" xfId="0" applyNumberFormat="1" applyFont="1" applyFill="1" applyBorder="1" applyAlignment="1">
      <alignment vertical="center"/>
    </xf>
    <xf numFmtId="2" fontId="4" fillId="4" borderId="11" xfId="0" applyNumberFormat="1" applyFont="1" applyFill="1" applyBorder="1" applyAlignment="1">
      <alignment vertical="center"/>
    </xf>
    <xf numFmtId="2" fontId="5" fillId="4" borderId="11" xfId="0" applyNumberFormat="1" applyFont="1" applyFill="1" applyBorder="1" applyAlignment="1">
      <alignment vertical="center"/>
    </xf>
    <xf numFmtId="2" fontId="5" fillId="4" borderId="16" xfId="0" applyNumberFormat="1" applyFont="1" applyFill="1" applyBorder="1" applyAlignment="1">
      <alignment vertical="center"/>
    </xf>
    <xf numFmtId="2" fontId="5" fillId="4" borderId="17" xfId="0" applyNumberFormat="1" applyFont="1" applyFill="1" applyBorder="1" applyAlignment="1">
      <alignment vertical="center"/>
    </xf>
    <xf numFmtId="2" fontId="5" fillId="4" borderId="18" xfId="0" applyNumberFormat="1" applyFont="1" applyFill="1" applyBorder="1" applyAlignment="1">
      <alignment vertical="center"/>
    </xf>
    <xf numFmtId="0" fontId="4" fillId="4" borderId="17" xfId="0" applyFont="1" applyFill="1" applyBorder="1" applyAlignment="1">
      <alignment vertical="top" wrapText="1"/>
    </xf>
    <xf numFmtId="0" fontId="4" fillId="4" borderId="14" xfId="0" applyFont="1" applyFill="1" applyBorder="1" applyAlignment="1">
      <alignment vertical="top" wrapText="1"/>
    </xf>
    <xf numFmtId="0" fontId="4" fillId="4" borderId="13" xfId="0" applyFont="1" applyFill="1" applyBorder="1" applyAlignment="1">
      <alignment vertical="top" wrapText="1"/>
    </xf>
    <xf numFmtId="0" fontId="4" fillId="4" borderId="14" xfId="0" applyFont="1" applyFill="1" applyBorder="1" applyAlignment="1">
      <alignment horizontal="left" vertical="top"/>
    </xf>
    <xf numFmtId="0" fontId="4" fillId="4" borderId="15" xfId="0" applyFont="1" applyFill="1" applyBorder="1" applyAlignment="1">
      <alignment vertical="top" wrapText="1"/>
    </xf>
    <xf numFmtId="0" fontId="6" fillId="6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0" fillId="0" borderId="19" xfId="0" applyBorder="1" applyProtection="1"/>
    <xf numFmtId="0" fontId="9" fillId="0" borderId="0" xfId="0" applyFont="1" applyBorder="1" applyProtection="1"/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center" wrapText="1"/>
    </xf>
    <xf numFmtId="0" fontId="0" fillId="0" borderId="23" xfId="0" applyBorder="1" applyProtection="1"/>
    <xf numFmtId="0" fontId="0" fillId="0" borderId="24" xfId="0" applyBorder="1" applyProtection="1"/>
    <xf numFmtId="0" fontId="0" fillId="0" borderId="5" xfId="0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0" fillId="0" borderId="30" xfId="0" applyBorder="1" applyProtection="1"/>
    <xf numFmtId="0" fontId="0" fillId="0" borderId="33" xfId="0" applyBorder="1" applyProtection="1"/>
    <xf numFmtId="0" fontId="0" fillId="0" borderId="34" xfId="0" applyBorder="1" applyProtection="1"/>
    <xf numFmtId="0" fontId="0" fillId="0" borderId="35" xfId="0" applyBorder="1" applyProtection="1"/>
    <xf numFmtId="0" fontId="0" fillId="0" borderId="37" xfId="0" applyBorder="1" applyProtection="1"/>
    <xf numFmtId="0" fontId="0" fillId="0" borderId="40" xfId="0" applyBorder="1" applyProtection="1"/>
    <xf numFmtId="0" fontId="8" fillId="3" borderId="33" xfId="0" applyFont="1" applyFill="1" applyBorder="1" applyProtection="1"/>
    <xf numFmtId="0" fontId="8" fillId="3" borderId="34" xfId="0" applyFont="1" applyFill="1" applyBorder="1" applyAlignment="1" applyProtection="1">
      <alignment horizontal="center"/>
    </xf>
    <xf numFmtId="4" fontId="8" fillId="3" borderId="35" xfId="0" applyNumberFormat="1" applyFont="1" applyFill="1" applyBorder="1" applyAlignment="1" applyProtection="1">
      <alignment horizontal="center"/>
      <protection locked="0"/>
    </xf>
    <xf numFmtId="0" fontId="9" fillId="3" borderId="31" xfId="0" applyFont="1" applyFill="1" applyBorder="1" applyAlignment="1" applyProtection="1">
      <alignment vertical="center"/>
    </xf>
    <xf numFmtId="164" fontId="0" fillId="3" borderId="14" xfId="0" applyNumberFormat="1" applyFill="1" applyBorder="1" applyAlignment="1" applyProtection="1">
      <alignment horizontal="center"/>
    </xf>
    <xf numFmtId="0" fontId="0" fillId="3" borderId="6" xfId="0" applyFill="1" applyBorder="1" applyProtection="1"/>
    <xf numFmtId="0" fontId="0" fillId="3" borderId="28" xfId="0" applyFill="1" applyBorder="1" applyProtection="1"/>
    <xf numFmtId="164" fontId="0" fillId="3" borderId="1" xfId="0" applyNumberFormat="1" applyFill="1" applyBorder="1" applyAlignment="1" applyProtection="1">
      <alignment horizontal="center"/>
    </xf>
    <xf numFmtId="0" fontId="9" fillId="3" borderId="28" xfId="0" applyFont="1" applyFill="1" applyBorder="1" applyAlignment="1" applyProtection="1">
      <alignment vertical="center"/>
    </xf>
    <xf numFmtId="0" fontId="9" fillId="3" borderId="32" xfId="0" applyFont="1" applyFill="1" applyBorder="1" applyAlignment="1" applyProtection="1">
      <alignment vertical="center"/>
    </xf>
    <xf numFmtId="164" fontId="0" fillId="3" borderId="10" xfId="0" applyNumberFormat="1" applyFill="1" applyBorder="1" applyAlignment="1" applyProtection="1">
      <alignment horizontal="center"/>
    </xf>
    <xf numFmtId="0" fontId="0" fillId="7" borderId="30" xfId="0" applyFill="1" applyBorder="1" applyProtection="1"/>
    <xf numFmtId="4" fontId="0" fillId="7" borderId="37" xfId="0" applyNumberFormat="1" applyFill="1" applyBorder="1" applyAlignment="1" applyProtection="1">
      <alignment horizontal="center"/>
    </xf>
    <xf numFmtId="0" fontId="0" fillId="7" borderId="4" xfId="0" applyFill="1" applyBorder="1" applyProtection="1"/>
    <xf numFmtId="0" fontId="12" fillId="7" borderId="33" xfId="0" applyFont="1" applyFill="1" applyBorder="1" applyAlignment="1" applyProtection="1">
      <alignment vertical="center"/>
    </xf>
    <xf numFmtId="0" fontId="8" fillId="7" borderId="34" xfId="0" applyFont="1" applyFill="1" applyBorder="1" applyAlignment="1" applyProtection="1">
      <alignment horizontal="center"/>
    </xf>
    <xf numFmtId="4" fontId="8" fillId="7" borderId="35" xfId="0" applyNumberFormat="1" applyFont="1" applyFill="1" applyBorder="1" applyAlignment="1" applyProtection="1">
      <alignment horizontal="center"/>
      <protection locked="0"/>
    </xf>
    <xf numFmtId="0" fontId="0" fillId="7" borderId="31" xfId="0" applyFill="1" applyBorder="1" applyProtection="1"/>
    <xf numFmtId="4" fontId="0" fillId="7" borderId="14" xfId="0" applyNumberFormat="1" applyFill="1" applyBorder="1" applyAlignment="1" applyProtection="1">
      <alignment horizontal="center"/>
    </xf>
    <xf numFmtId="0" fontId="0" fillId="7" borderId="6" xfId="0" applyFill="1" applyBorder="1" applyProtection="1"/>
    <xf numFmtId="0" fontId="0" fillId="7" borderId="28" xfId="0" applyFill="1" applyBorder="1" applyProtection="1"/>
    <xf numFmtId="4" fontId="0" fillId="7" borderId="1" xfId="0" applyNumberFormat="1" applyFill="1" applyBorder="1" applyAlignment="1" applyProtection="1">
      <alignment horizontal="center"/>
    </xf>
    <xf numFmtId="0" fontId="9" fillId="7" borderId="28" xfId="0" applyFont="1" applyFill="1" applyBorder="1" applyAlignment="1" applyProtection="1">
      <alignment vertical="center"/>
    </xf>
    <xf numFmtId="0" fontId="9" fillId="7" borderId="29" xfId="0" applyFont="1" applyFill="1" applyBorder="1" applyAlignment="1" applyProtection="1">
      <alignment vertical="center"/>
    </xf>
    <xf numFmtId="4" fontId="0" fillId="7" borderId="10" xfId="0" applyNumberFormat="1" applyFill="1" applyBorder="1" applyAlignment="1" applyProtection="1">
      <alignment horizontal="center"/>
    </xf>
    <xf numFmtId="0" fontId="0" fillId="7" borderId="9" xfId="0" applyFill="1" applyBorder="1" applyProtection="1"/>
    <xf numFmtId="0" fontId="0" fillId="8" borderId="20" xfId="0" applyFill="1" applyBorder="1" applyProtection="1"/>
    <xf numFmtId="4" fontId="0" fillId="8" borderId="21" xfId="0" applyNumberFormat="1" applyFill="1" applyBorder="1" applyAlignment="1" applyProtection="1">
      <alignment horizontal="center"/>
    </xf>
    <xf numFmtId="0" fontId="0" fillId="8" borderId="4" xfId="0" applyFill="1" applyBorder="1" applyProtection="1"/>
    <xf numFmtId="0" fontId="9" fillId="8" borderId="28" xfId="0" applyFont="1" applyFill="1" applyBorder="1" applyAlignment="1" applyProtection="1">
      <alignment vertical="center"/>
    </xf>
    <xf numFmtId="4" fontId="0" fillId="8" borderId="1" xfId="0" applyNumberFormat="1" applyFill="1" applyBorder="1" applyAlignment="1" applyProtection="1">
      <alignment horizontal="center"/>
    </xf>
    <xf numFmtId="4" fontId="0" fillId="8" borderId="6" xfId="0" applyNumberFormat="1" applyFont="1" applyFill="1" applyBorder="1" applyAlignment="1" applyProtection="1">
      <alignment horizontal="center"/>
    </xf>
    <xf numFmtId="0" fontId="0" fillId="8" borderId="28" xfId="0" applyFill="1" applyBorder="1" applyProtection="1"/>
    <xf numFmtId="0" fontId="0" fillId="8" borderId="6" xfId="0" applyFill="1" applyBorder="1" applyProtection="1"/>
    <xf numFmtId="0" fontId="0" fillId="8" borderId="32" xfId="0" applyFill="1" applyBorder="1" applyProtection="1"/>
    <xf numFmtId="4" fontId="0" fillId="8" borderId="17" xfId="0" applyNumberFormat="1" applyFill="1" applyBorder="1" applyAlignment="1" applyProtection="1">
      <alignment horizontal="center"/>
    </xf>
    <xf numFmtId="0" fontId="12" fillId="8" borderId="33" xfId="0" applyFont="1" applyFill="1" applyBorder="1" applyAlignment="1" applyProtection="1">
      <alignment vertical="center"/>
    </xf>
    <xf numFmtId="4" fontId="8" fillId="8" borderId="34" xfId="0" applyNumberFormat="1" applyFont="1" applyFill="1" applyBorder="1" applyAlignment="1" applyProtection="1">
      <alignment horizontal="center"/>
    </xf>
    <xf numFmtId="4" fontId="8" fillId="8" borderId="36" xfId="0" applyNumberFormat="1" applyFont="1" applyFill="1" applyBorder="1" applyAlignment="1" applyProtection="1">
      <alignment horizontal="center"/>
      <protection locked="0"/>
    </xf>
    <xf numFmtId="0" fontId="9" fillId="8" borderId="31" xfId="0" applyFont="1" applyFill="1" applyBorder="1" applyAlignment="1" applyProtection="1">
      <alignment vertical="center"/>
    </xf>
    <xf numFmtId="4" fontId="0" fillId="8" borderId="14" xfId="0" applyNumberFormat="1" applyFill="1" applyBorder="1" applyAlignment="1" applyProtection="1">
      <alignment horizontal="center"/>
    </xf>
    <xf numFmtId="0" fontId="9" fillId="8" borderId="29" xfId="0" applyFont="1" applyFill="1" applyBorder="1" applyAlignment="1" applyProtection="1">
      <alignment vertical="center"/>
    </xf>
    <xf numFmtId="4" fontId="0" fillId="8" borderId="10" xfId="0" applyNumberFormat="1" applyFill="1" applyBorder="1" applyAlignment="1" applyProtection="1">
      <alignment horizontal="center"/>
    </xf>
    <xf numFmtId="0" fontId="0" fillId="8" borderId="9" xfId="0" applyFill="1" applyBorder="1" applyProtection="1"/>
    <xf numFmtId="0" fontId="0" fillId="9" borderId="20" xfId="0" applyFill="1" applyBorder="1" applyProtection="1"/>
    <xf numFmtId="165" fontId="0" fillId="9" borderId="21" xfId="0" applyNumberFormat="1" applyFill="1" applyBorder="1" applyAlignment="1" applyProtection="1">
      <alignment horizontal="center"/>
    </xf>
    <xf numFmtId="0" fontId="0" fillId="9" borderId="4" xfId="0" applyFill="1" applyBorder="1" applyProtection="1"/>
    <xf numFmtId="0" fontId="9" fillId="9" borderId="28" xfId="0" applyFont="1" applyFill="1" applyBorder="1" applyAlignment="1" applyProtection="1">
      <alignment vertical="center"/>
    </xf>
    <xf numFmtId="165" fontId="0" fillId="9" borderId="1" xfId="0" applyNumberFormat="1" applyFill="1" applyBorder="1" applyAlignment="1" applyProtection="1">
      <alignment horizontal="center"/>
    </xf>
    <xf numFmtId="4" fontId="0" fillId="9" borderId="6" xfId="0" applyNumberFormat="1" applyFont="1" applyFill="1" applyBorder="1" applyAlignment="1" applyProtection="1">
      <alignment horizontal="center"/>
    </xf>
    <xf numFmtId="0" fontId="0" fillId="9" borderId="28" xfId="0" applyFill="1" applyBorder="1" applyProtection="1"/>
    <xf numFmtId="0" fontId="0" fillId="9" borderId="6" xfId="0" applyFill="1" applyBorder="1" applyProtection="1"/>
    <xf numFmtId="0" fontId="9" fillId="9" borderId="32" xfId="0" applyFont="1" applyFill="1" applyBorder="1" applyAlignment="1" applyProtection="1">
      <alignment vertical="center"/>
    </xf>
    <xf numFmtId="165" fontId="0" fillId="9" borderId="17" xfId="0" applyNumberFormat="1" applyFill="1" applyBorder="1" applyAlignment="1" applyProtection="1">
      <alignment horizontal="center"/>
    </xf>
    <xf numFmtId="0" fontId="12" fillId="9" borderId="33" xfId="0" applyFont="1" applyFill="1" applyBorder="1" applyAlignment="1" applyProtection="1">
      <alignment vertical="center"/>
    </xf>
    <xf numFmtId="165" fontId="8" fillId="9" borderId="34" xfId="0" applyNumberFormat="1" applyFont="1" applyFill="1" applyBorder="1" applyAlignment="1" applyProtection="1">
      <alignment horizontal="center"/>
    </xf>
    <xf numFmtId="4" fontId="8" fillId="9" borderId="35" xfId="0" applyNumberFormat="1" applyFont="1" applyFill="1" applyBorder="1" applyAlignment="1" applyProtection="1">
      <alignment horizontal="center"/>
      <protection locked="0"/>
    </xf>
    <xf numFmtId="0" fontId="9" fillId="9" borderId="31" xfId="0" applyFont="1" applyFill="1" applyBorder="1" applyAlignment="1" applyProtection="1">
      <alignment vertical="center"/>
    </xf>
    <xf numFmtId="165" fontId="0" fillId="9" borderId="14" xfId="0" applyNumberFormat="1" applyFill="1" applyBorder="1" applyAlignment="1" applyProtection="1">
      <alignment horizontal="center"/>
    </xf>
    <xf numFmtId="0" fontId="9" fillId="9" borderId="29" xfId="0" applyFont="1" applyFill="1" applyBorder="1" applyAlignment="1" applyProtection="1">
      <alignment vertical="center"/>
    </xf>
    <xf numFmtId="165" fontId="0" fillId="9" borderId="10" xfId="0" applyNumberFormat="1" applyFill="1" applyBorder="1" applyAlignment="1" applyProtection="1">
      <alignment horizontal="center"/>
    </xf>
    <xf numFmtId="0" fontId="0" fillId="9" borderId="9" xfId="0" applyFill="1" applyBorder="1" applyProtection="1"/>
    <xf numFmtId="0" fontId="0" fillId="2" borderId="20" xfId="0" applyFill="1" applyBorder="1" applyProtection="1"/>
    <xf numFmtId="166" fontId="0" fillId="2" borderId="21" xfId="0" applyNumberFormat="1" applyFill="1" applyBorder="1" applyAlignment="1" applyProtection="1">
      <alignment horizontal="center"/>
    </xf>
    <xf numFmtId="0" fontId="0" fillId="2" borderId="4" xfId="0" applyFill="1" applyBorder="1" applyProtection="1"/>
    <xf numFmtId="0" fontId="9" fillId="2" borderId="28" xfId="0" applyFont="1" applyFill="1" applyBorder="1" applyAlignment="1" applyProtection="1">
      <alignment vertical="center"/>
    </xf>
    <xf numFmtId="166" fontId="0" fillId="2" borderId="1" xfId="0" applyNumberFormat="1" applyFill="1" applyBorder="1" applyAlignment="1" applyProtection="1">
      <alignment horizontal="center"/>
    </xf>
    <xf numFmtId="4" fontId="0" fillId="2" borderId="6" xfId="0" applyNumberFormat="1" applyFill="1" applyBorder="1" applyAlignment="1" applyProtection="1">
      <alignment horizontal="center"/>
    </xf>
    <xf numFmtId="0" fontId="0" fillId="2" borderId="28" xfId="0" applyFill="1" applyBorder="1" applyProtection="1"/>
    <xf numFmtId="0" fontId="0" fillId="2" borderId="6" xfId="0" applyFill="1" applyBorder="1" applyProtection="1"/>
    <xf numFmtId="0" fontId="0" fillId="2" borderId="28" xfId="0" applyFont="1" applyFill="1" applyBorder="1" applyProtection="1"/>
    <xf numFmtId="4" fontId="0" fillId="2" borderId="6" xfId="0" applyNumberFormat="1" applyFont="1" applyFill="1" applyBorder="1" applyAlignment="1" applyProtection="1">
      <alignment horizontal="center"/>
    </xf>
    <xf numFmtId="0" fontId="9" fillId="2" borderId="32" xfId="0" applyFont="1" applyFill="1" applyBorder="1" applyAlignment="1" applyProtection="1">
      <alignment vertical="center"/>
    </xf>
    <xf numFmtId="166" fontId="0" fillId="2" borderId="17" xfId="0" applyNumberFormat="1" applyFill="1" applyBorder="1" applyAlignment="1" applyProtection="1">
      <alignment horizontal="center"/>
    </xf>
    <xf numFmtId="0" fontId="12" fillId="2" borderId="33" xfId="0" applyFont="1" applyFill="1" applyBorder="1" applyAlignment="1" applyProtection="1">
      <alignment vertical="center"/>
    </xf>
    <xf numFmtId="166" fontId="8" fillId="2" borderId="34" xfId="0" applyNumberFormat="1" applyFont="1" applyFill="1" applyBorder="1" applyAlignment="1" applyProtection="1">
      <alignment horizontal="center"/>
    </xf>
    <xf numFmtId="4" fontId="8" fillId="2" borderId="36" xfId="0" applyNumberFormat="1" applyFont="1" applyFill="1" applyBorder="1" applyAlignment="1" applyProtection="1">
      <alignment horizontal="center"/>
      <protection locked="0"/>
    </xf>
    <xf numFmtId="0" fontId="9" fillId="2" borderId="31" xfId="0" applyFont="1" applyFill="1" applyBorder="1" applyAlignment="1" applyProtection="1">
      <alignment vertical="center"/>
    </xf>
    <xf numFmtId="166" fontId="0" fillId="2" borderId="14" xfId="0" applyNumberFormat="1" applyFill="1" applyBorder="1" applyAlignment="1" applyProtection="1">
      <alignment horizontal="center"/>
    </xf>
    <xf numFmtId="0" fontId="9" fillId="2" borderId="29" xfId="0" applyFont="1" applyFill="1" applyBorder="1" applyAlignment="1" applyProtection="1">
      <alignment vertical="center"/>
    </xf>
    <xf numFmtId="166" fontId="0" fillId="2" borderId="10" xfId="0" applyNumberFormat="1" applyFill="1" applyBorder="1" applyAlignment="1" applyProtection="1">
      <alignment horizontal="center"/>
    </xf>
    <xf numFmtId="0" fontId="0" fillId="2" borderId="9" xfId="0" applyFill="1" applyBorder="1" applyProtection="1"/>
    <xf numFmtId="0" fontId="0" fillId="10" borderId="20" xfId="0" applyFill="1" applyBorder="1" applyProtection="1"/>
    <xf numFmtId="4" fontId="0" fillId="10" borderId="21" xfId="0" applyNumberFormat="1" applyFill="1" applyBorder="1" applyAlignment="1" applyProtection="1">
      <alignment horizontal="center"/>
    </xf>
    <xf numFmtId="0" fontId="0" fillId="10" borderId="4" xfId="0" applyFill="1" applyBorder="1" applyProtection="1"/>
    <xf numFmtId="0" fontId="9" fillId="10" borderId="28" xfId="0" applyFont="1" applyFill="1" applyBorder="1" applyAlignment="1" applyProtection="1">
      <alignment vertical="center"/>
    </xf>
    <xf numFmtId="4" fontId="0" fillId="10" borderId="1" xfId="0" applyNumberFormat="1" applyFill="1" applyBorder="1" applyAlignment="1" applyProtection="1">
      <alignment horizontal="center"/>
    </xf>
    <xf numFmtId="4" fontId="0" fillId="10" borderId="6" xfId="0" applyNumberFormat="1" applyFill="1" applyBorder="1" applyAlignment="1" applyProtection="1">
      <alignment horizontal="center"/>
    </xf>
    <xf numFmtId="0" fontId="0" fillId="10" borderId="28" xfId="0" applyFill="1" applyBorder="1" applyProtection="1"/>
    <xf numFmtId="0" fontId="0" fillId="10" borderId="6" xfId="0" applyFill="1" applyBorder="1" applyProtection="1"/>
    <xf numFmtId="0" fontId="0" fillId="10" borderId="28" xfId="0" applyFont="1" applyFill="1" applyBorder="1" applyProtection="1"/>
    <xf numFmtId="4" fontId="0" fillId="10" borderId="6" xfId="0" applyNumberFormat="1" applyFont="1" applyFill="1" applyBorder="1" applyAlignment="1" applyProtection="1">
      <alignment horizontal="center"/>
    </xf>
    <xf numFmtId="0" fontId="9" fillId="10" borderId="32" xfId="0" applyFont="1" applyFill="1" applyBorder="1" applyAlignment="1" applyProtection="1">
      <alignment vertical="center"/>
    </xf>
    <xf numFmtId="4" fontId="0" fillId="10" borderId="17" xfId="0" applyNumberFormat="1" applyFill="1" applyBorder="1" applyAlignment="1" applyProtection="1">
      <alignment horizontal="center"/>
    </xf>
    <xf numFmtId="0" fontId="12" fillId="10" borderId="33" xfId="0" applyFont="1" applyFill="1" applyBorder="1" applyAlignment="1" applyProtection="1">
      <alignment vertical="center"/>
    </xf>
    <xf numFmtId="0" fontId="8" fillId="10" borderId="34" xfId="0" applyFont="1" applyFill="1" applyBorder="1" applyAlignment="1" applyProtection="1">
      <alignment horizontal="center"/>
    </xf>
    <xf numFmtId="4" fontId="8" fillId="10" borderId="36" xfId="0" applyNumberFormat="1" applyFont="1" applyFill="1" applyBorder="1" applyAlignment="1" applyProtection="1">
      <alignment horizontal="center"/>
      <protection locked="0"/>
    </xf>
    <xf numFmtId="0" fontId="9" fillId="10" borderId="31" xfId="0" applyFont="1" applyFill="1" applyBorder="1" applyAlignment="1" applyProtection="1">
      <alignment vertical="center"/>
    </xf>
    <xf numFmtId="4" fontId="0" fillId="10" borderId="14" xfId="0" applyNumberFormat="1" applyFill="1" applyBorder="1" applyAlignment="1" applyProtection="1">
      <alignment horizontal="center"/>
    </xf>
    <xf numFmtId="0" fontId="9" fillId="10" borderId="29" xfId="0" applyFont="1" applyFill="1" applyBorder="1" applyAlignment="1" applyProtection="1">
      <alignment vertical="center"/>
    </xf>
    <xf numFmtId="4" fontId="0" fillId="10" borderId="10" xfId="0" applyNumberFormat="1" applyFill="1" applyBorder="1" applyAlignment="1" applyProtection="1">
      <alignment horizontal="center"/>
    </xf>
    <xf numFmtId="0" fontId="0" fillId="10" borderId="9" xfId="0" applyFill="1" applyBorder="1" applyProtection="1"/>
    <xf numFmtId="0" fontId="0" fillId="11" borderId="20" xfId="0" applyFill="1" applyBorder="1" applyProtection="1"/>
    <xf numFmtId="4" fontId="0" fillId="11" borderId="21" xfId="0" applyNumberFormat="1" applyFill="1" applyBorder="1" applyAlignment="1" applyProtection="1">
      <alignment horizontal="center"/>
    </xf>
    <xf numFmtId="0" fontId="0" fillId="11" borderId="4" xfId="0" applyFill="1" applyBorder="1" applyProtection="1"/>
    <xf numFmtId="0" fontId="9" fillId="11" borderId="28" xfId="0" applyFont="1" applyFill="1" applyBorder="1" applyAlignment="1" applyProtection="1">
      <alignment vertical="center"/>
    </xf>
    <xf numFmtId="0" fontId="0" fillId="11" borderId="1" xfId="0" applyFill="1" applyBorder="1" applyAlignment="1" applyProtection="1">
      <alignment horizontal="center"/>
    </xf>
    <xf numFmtId="4" fontId="0" fillId="11" borderId="6" xfId="0" applyNumberFormat="1" applyFill="1" applyBorder="1" applyAlignment="1" applyProtection="1">
      <alignment horizontal="center"/>
    </xf>
    <xf numFmtId="0" fontId="0" fillId="11" borderId="32" xfId="0" applyFill="1" applyBorder="1" applyProtection="1"/>
    <xf numFmtId="0" fontId="0" fillId="11" borderId="17" xfId="0" applyFill="1" applyBorder="1" applyAlignment="1" applyProtection="1">
      <alignment horizontal="center"/>
    </xf>
    <xf numFmtId="0" fontId="0" fillId="11" borderId="6" xfId="0" applyFill="1" applyBorder="1" applyProtection="1"/>
    <xf numFmtId="0" fontId="8" fillId="11" borderId="33" xfId="0" applyFont="1" applyFill="1" applyBorder="1" applyProtection="1"/>
    <xf numFmtId="4" fontId="8" fillId="11" borderId="34" xfId="0" applyNumberFormat="1" applyFont="1" applyFill="1" applyBorder="1" applyAlignment="1" applyProtection="1">
      <alignment horizontal="center"/>
    </xf>
    <xf numFmtId="4" fontId="8" fillId="11" borderId="35" xfId="0" applyNumberFormat="1" applyFont="1" applyFill="1" applyBorder="1" applyAlignment="1" applyProtection="1">
      <alignment horizontal="center"/>
      <protection locked="0"/>
    </xf>
    <xf numFmtId="0" fontId="9" fillId="11" borderId="31" xfId="0" applyFont="1" applyFill="1" applyBorder="1" applyAlignment="1" applyProtection="1">
      <alignment vertical="center"/>
    </xf>
    <xf numFmtId="0" fontId="0" fillId="11" borderId="14" xfId="0" applyFill="1" applyBorder="1" applyAlignment="1" applyProtection="1">
      <alignment horizontal="center"/>
    </xf>
    <xf numFmtId="0" fontId="9" fillId="11" borderId="32" xfId="0" applyFont="1" applyFill="1" applyBorder="1" applyAlignment="1" applyProtection="1">
      <alignment vertical="center"/>
    </xf>
    <xf numFmtId="4" fontId="0" fillId="11" borderId="17" xfId="0" applyNumberFormat="1" applyFill="1" applyBorder="1" applyAlignment="1" applyProtection="1">
      <alignment horizontal="center"/>
    </xf>
    <xf numFmtId="0" fontId="0" fillId="12" borderId="20" xfId="0" applyFill="1" applyBorder="1" applyProtection="1"/>
    <xf numFmtId="4" fontId="0" fillId="12" borderId="21" xfId="0" applyNumberFormat="1" applyFill="1" applyBorder="1" applyAlignment="1" applyProtection="1">
      <alignment horizontal="center"/>
    </xf>
    <xf numFmtId="0" fontId="0" fillId="12" borderId="4" xfId="0" applyFill="1" applyBorder="1" applyProtection="1"/>
    <xf numFmtId="0" fontId="9" fillId="12" borderId="32" xfId="0" applyFont="1" applyFill="1" applyBorder="1" applyAlignment="1" applyProtection="1">
      <alignment vertical="center"/>
    </xf>
    <xf numFmtId="4" fontId="0" fillId="12" borderId="17" xfId="0" applyNumberFormat="1" applyFill="1" applyBorder="1" applyAlignment="1" applyProtection="1">
      <alignment horizontal="center"/>
    </xf>
    <xf numFmtId="4" fontId="0" fillId="12" borderId="6" xfId="0" applyNumberFormat="1" applyFill="1" applyBorder="1" applyAlignment="1" applyProtection="1">
      <alignment horizontal="center"/>
    </xf>
    <xf numFmtId="0" fontId="8" fillId="12" borderId="33" xfId="0" applyFont="1" applyFill="1" applyBorder="1" applyProtection="1"/>
    <xf numFmtId="4" fontId="8" fillId="12" borderId="34" xfId="0" applyNumberFormat="1" applyFont="1" applyFill="1" applyBorder="1" applyAlignment="1" applyProtection="1">
      <alignment horizontal="center"/>
    </xf>
    <xf numFmtId="4" fontId="8" fillId="12" borderId="35" xfId="0" applyNumberFormat="1" applyFont="1" applyFill="1" applyBorder="1" applyAlignment="1" applyProtection="1">
      <alignment horizontal="center"/>
      <protection locked="0"/>
    </xf>
    <xf numFmtId="0" fontId="0" fillId="12" borderId="31" xfId="0" applyFill="1" applyBorder="1" applyProtection="1"/>
    <xf numFmtId="4" fontId="0" fillId="12" borderId="14" xfId="0" applyNumberFormat="1" applyFill="1" applyBorder="1" applyAlignment="1" applyProtection="1">
      <alignment horizontal="center"/>
    </xf>
    <xf numFmtId="0" fontId="0" fillId="12" borderId="6" xfId="0" applyFill="1" applyBorder="1" applyProtection="1"/>
    <xf numFmtId="0" fontId="9" fillId="12" borderId="28" xfId="0" applyFont="1" applyFill="1" applyBorder="1" applyAlignment="1" applyProtection="1">
      <alignment vertical="center"/>
    </xf>
    <xf numFmtId="4" fontId="0" fillId="12" borderId="1" xfId="0" applyNumberFormat="1" applyFill="1" applyBorder="1" applyAlignment="1" applyProtection="1">
      <alignment horizontal="center"/>
    </xf>
    <xf numFmtId="0" fontId="9" fillId="12" borderId="29" xfId="0" applyFont="1" applyFill="1" applyBorder="1" applyAlignment="1" applyProtection="1">
      <alignment vertical="center"/>
    </xf>
    <xf numFmtId="4" fontId="0" fillId="12" borderId="10" xfId="0" applyNumberFormat="1" applyFill="1" applyBorder="1" applyAlignment="1" applyProtection="1">
      <alignment horizontal="center"/>
    </xf>
    <xf numFmtId="0" fontId="0" fillId="12" borderId="9" xfId="0" applyFill="1" applyBorder="1" applyProtection="1"/>
    <xf numFmtId="0" fontId="0" fillId="13" borderId="20" xfId="0" applyFill="1" applyBorder="1" applyProtection="1"/>
    <xf numFmtId="4" fontId="0" fillId="13" borderId="21" xfId="0" applyNumberFormat="1" applyFill="1" applyBorder="1" applyAlignment="1" applyProtection="1">
      <alignment horizontal="center"/>
    </xf>
    <xf numFmtId="0" fontId="0" fillId="13" borderId="4" xfId="0" applyFill="1" applyBorder="1" applyProtection="1"/>
    <xf numFmtId="0" fontId="9" fillId="13" borderId="28" xfId="0" applyFont="1" applyFill="1" applyBorder="1" applyAlignment="1" applyProtection="1">
      <alignment vertical="center"/>
    </xf>
    <xf numFmtId="4" fontId="0" fillId="13" borderId="1" xfId="0" applyNumberFormat="1" applyFill="1" applyBorder="1" applyAlignment="1" applyProtection="1">
      <alignment horizontal="center"/>
    </xf>
    <xf numFmtId="4" fontId="0" fillId="13" borderId="6" xfId="0" applyNumberFormat="1" applyFill="1" applyBorder="1" applyAlignment="1" applyProtection="1">
      <alignment horizontal="center"/>
    </xf>
    <xf numFmtId="0" fontId="0" fillId="13" borderId="28" xfId="0" applyFont="1" applyFill="1" applyBorder="1" applyProtection="1"/>
    <xf numFmtId="4" fontId="0" fillId="13" borderId="6" xfId="0" applyNumberFormat="1" applyFont="1" applyFill="1" applyBorder="1" applyAlignment="1" applyProtection="1">
      <alignment horizontal="center"/>
    </xf>
    <xf numFmtId="0" fontId="0" fillId="13" borderId="28" xfId="0" applyFill="1" applyBorder="1" applyProtection="1"/>
    <xf numFmtId="0" fontId="0" fillId="13" borderId="6" xfId="0" applyFill="1" applyBorder="1" applyProtection="1"/>
    <xf numFmtId="0" fontId="9" fillId="13" borderId="32" xfId="0" applyFont="1" applyFill="1" applyBorder="1" applyAlignment="1" applyProtection="1">
      <alignment vertical="center"/>
    </xf>
    <xf numFmtId="4" fontId="0" fillId="13" borderId="17" xfId="0" applyNumberFormat="1" applyFill="1" applyBorder="1" applyAlignment="1" applyProtection="1">
      <alignment horizontal="center"/>
    </xf>
    <xf numFmtId="0" fontId="12" fillId="13" borderId="33" xfId="0" applyFont="1" applyFill="1" applyBorder="1" applyAlignment="1" applyProtection="1">
      <alignment vertical="center"/>
    </xf>
    <xf numFmtId="4" fontId="8" fillId="13" borderId="34" xfId="0" applyNumberFormat="1" applyFont="1" applyFill="1" applyBorder="1" applyAlignment="1" applyProtection="1">
      <alignment horizontal="center"/>
    </xf>
    <xf numFmtId="4" fontId="8" fillId="13" borderId="36" xfId="0" applyNumberFormat="1" applyFont="1" applyFill="1" applyBorder="1" applyAlignment="1" applyProtection="1">
      <alignment horizontal="center"/>
      <protection locked="0"/>
    </xf>
    <xf numFmtId="0" fontId="9" fillId="13" borderId="31" xfId="0" applyFont="1" applyFill="1" applyBorder="1" applyAlignment="1" applyProtection="1">
      <alignment vertical="center"/>
    </xf>
    <xf numFmtId="4" fontId="0" fillId="13" borderId="14" xfId="0" applyNumberFormat="1" applyFill="1" applyBorder="1" applyAlignment="1" applyProtection="1">
      <alignment horizontal="center"/>
    </xf>
    <xf numFmtId="0" fontId="9" fillId="13" borderId="29" xfId="0" applyFont="1" applyFill="1" applyBorder="1" applyAlignment="1" applyProtection="1">
      <alignment vertical="center"/>
    </xf>
    <xf numFmtId="4" fontId="0" fillId="13" borderId="10" xfId="0" applyNumberFormat="1" applyFill="1" applyBorder="1" applyAlignment="1" applyProtection="1">
      <alignment horizontal="center"/>
    </xf>
    <xf numFmtId="0" fontId="0" fillId="13" borderId="9" xfId="0" applyFill="1" applyBorder="1" applyProtection="1"/>
    <xf numFmtId="0" fontId="0" fillId="14" borderId="20" xfId="0" applyFill="1" applyBorder="1" applyProtection="1"/>
    <xf numFmtId="167" fontId="0" fillId="14" borderId="21" xfId="0" applyNumberFormat="1" applyFill="1" applyBorder="1" applyAlignment="1" applyProtection="1">
      <alignment horizontal="center"/>
    </xf>
    <xf numFmtId="0" fontId="0" fillId="14" borderId="4" xfId="0" applyFill="1" applyBorder="1" applyProtection="1"/>
    <xf numFmtId="0" fontId="9" fillId="14" borderId="28" xfId="0" applyFont="1" applyFill="1" applyBorder="1" applyAlignment="1" applyProtection="1">
      <alignment vertical="center"/>
    </xf>
    <xf numFmtId="167" fontId="0" fillId="14" borderId="1" xfId="0" applyNumberFormat="1" applyFill="1" applyBorder="1" applyAlignment="1" applyProtection="1">
      <alignment horizontal="center"/>
    </xf>
    <xf numFmtId="4" fontId="0" fillId="14" borderId="6" xfId="0" applyNumberFormat="1" applyFill="1" applyBorder="1" applyAlignment="1" applyProtection="1">
      <alignment horizontal="center"/>
    </xf>
    <xf numFmtId="0" fontId="0" fillId="14" borderId="28" xfId="0" applyFill="1" applyBorder="1" applyProtection="1"/>
    <xf numFmtId="0" fontId="0" fillId="14" borderId="6" xfId="0" applyFill="1" applyBorder="1" applyProtection="1"/>
    <xf numFmtId="0" fontId="0" fillId="14" borderId="28" xfId="0" applyFont="1" applyFill="1" applyBorder="1" applyProtection="1"/>
    <xf numFmtId="4" fontId="0" fillId="14" borderId="6" xfId="0" applyNumberFormat="1" applyFont="1" applyFill="1" applyBorder="1" applyAlignment="1" applyProtection="1">
      <alignment horizontal="center"/>
    </xf>
    <xf numFmtId="0" fontId="9" fillId="14" borderId="32" xfId="0" applyFont="1" applyFill="1" applyBorder="1" applyAlignment="1" applyProtection="1">
      <alignment vertical="center"/>
    </xf>
    <xf numFmtId="167" fontId="0" fillId="14" borderId="17" xfId="0" applyNumberFormat="1" applyFill="1" applyBorder="1" applyAlignment="1" applyProtection="1">
      <alignment horizontal="center"/>
    </xf>
    <xf numFmtId="0" fontId="12" fillId="14" borderId="33" xfId="0" applyFont="1" applyFill="1" applyBorder="1" applyAlignment="1" applyProtection="1">
      <alignment vertical="center"/>
    </xf>
    <xf numFmtId="0" fontId="8" fillId="14" borderId="34" xfId="0" applyFont="1" applyFill="1" applyBorder="1" applyAlignment="1" applyProtection="1">
      <alignment horizontal="center"/>
    </xf>
    <xf numFmtId="4" fontId="8" fillId="14" borderId="36" xfId="0" applyNumberFormat="1" applyFont="1" applyFill="1" applyBorder="1" applyAlignment="1" applyProtection="1">
      <alignment horizontal="center"/>
      <protection locked="0"/>
    </xf>
    <xf numFmtId="0" fontId="9" fillId="14" borderId="38" xfId="0" applyFont="1" applyFill="1" applyBorder="1" applyAlignment="1" applyProtection="1">
      <alignment vertical="center"/>
    </xf>
    <xf numFmtId="166" fontId="0" fillId="14" borderId="39" xfId="0" applyNumberFormat="1" applyFill="1" applyBorder="1" applyAlignment="1" applyProtection="1">
      <alignment horizontal="center"/>
    </xf>
    <xf numFmtId="0" fontId="0" fillId="14" borderId="9" xfId="0" applyFill="1" applyBorder="1" applyProtection="1"/>
    <xf numFmtId="0" fontId="0" fillId="15" borderId="20" xfId="0" applyFill="1" applyBorder="1" applyProtection="1"/>
    <xf numFmtId="168" fontId="0" fillId="15" borderId="21" xfId="0" applyNumberFormat="1" applyFill="1" applyBorder="1" applyAlignment="1" applyProtection="1">
      <alignment horizontal="center"/>
    </xf>
    <xf numFmtId="0" fontId="0" fillId="15" borderId="4" xfId="0" applyFill="1" applyBorder="1" applyProtection="1"/>
    <xf numFmtId="0" fontId="9" fillId="15" borderId="28" xfId="0" applyFont="1" applyFill="1" applyBorder="1" applyAlignment="1" applyProtection="1">
      <alignment vertical="center"/>
    </xf>
    <xf numFmtId="168" fontId="0" fillId="15" borderId="1" xfId="0" applyNumberFormat="1" applyFill="1" applyBorder="1" applyAlignment="1" applyProtection="1">
      <alignment horizontal="center"/>
    </xf>
    <xf numFmtId="4" fontId="0" fillId="15" borderId="6" xfId="0" applyNumberFormat="1" applyFill="1" applyBorder="1" applyAlignment="1" applyProtection="1">
      <alignment horizontal="center"/>
    </xf>
    <xf numFmtId="0" fontId="0" fillId="15" borderId="28" xfId="0" applyFill="1" applyBorder="1" applyProtection="1"/>
    <xf numFmtId="0" fontId="0" fillId="15" borderId="6" xfId="0" applyFill="1" applyBorder="1" applyProtection="1"/>
    <xf numFmtId="0" fontId="0" fillId="15" borderId="28" xfId="0" applyFont="1" applyFill="1" applyBorder="1" applyProtection="1"/>
    <xf numFmtId="4" fontId="0" fillId="15" borderId="6" xfId="0" applyNumberFormat="1" applyFont="1" applyFill="1" applyBorder="1" applyAlignment="1" applyProtection="1">
      <alignment horizontal="center"/>
    </xf>
    <xf numFmtId="0" fontId="9" fillId="15" borderId="32" xfId="0" applyFont="1" applyFill="1" applyBorder="1" applyAlignment="1" applyProtection="1">
      <alignment vertical="center"/>
    </xf>
    <xf numFmtId="168" fontId="0" fillId="15" borderId="17" xfId="0" applyNumberFormat="1" applyFill="1" applyBorder="1" applyAlignment="1" applyProtection="1">
      <alignment horizontal="center"/>
    </xf>
    <xf numFmtId="0" fontId="12" fillId="15" borderId="33" xfId="0" applyFont="1" applyFill="1" applyBorder="1" applyAlignment="1" applyProtection="1">
      <alignment vertical="center"/>
    </xf>
    <xf numFmtId="4" fontId="8" fillId="15" borderId="34" xfId="0" applyNumberFormat="1" applyFont="1" applyFill="1" applyBorder="1" applyAlignment="1" applyProtection="1">
      <alignment horizontal="center"/>
    </xf>
    <xf numFmtId="4" fontId="8" fillId="15" borderId="3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0" fontId="7" fillId="5" borderId="0" xfId="0" applyFont="1" applyFill="1" applyAlignment="1">
      <alignment horizontal="right" vertical="center" wrapText="1"/>
    </xf>
    <xf numFmtId="12" fontId="0" fillId="0" borderId="42" xfId="0" applyNumberFormat="1" applyFill="1" applyBorder="1" applyProtection="1"/>
    <xf numFmtId="1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Protection="1"/>
    <xf numFmtId="0" fontId="0" fillId="0" borderId="1" xfId="0" applyBorder="1" applyAlignment="1" applyProtection="1">
      <alignment horizontal="center" vertical="center" wrapText="1"/>
    </xf>
    <xf numFmtId="0" fontId="0" fillId="0" borderId="33" xfId="0" applyBorder="1" applyAlignment="1" applyProtection="1">
      <alignment horizontal="center" vertical="center"/>
    </xf>
    <xf numFmtId="0" fontId="0" fillId="0" borderId="34" xfId="0" applyBorder="1" applyAlignment="1" applyProtection="1">
      <alignment horizontal="center" vertical="center"/>
    </xf>
    <xf numFmtId="12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left" vertical="center"/>
    </xf>
    <xf numFmtId="0" fontId="0" fillId="0" borderId="43" xfId="0" applyBorder="1" applyProtection="1"/>
    <xf numFmtId="2" fontId="0" fillId="0" borderId="0" xfId="0" applyNumberFormat="1" applyBorder="1" applyProtection="1">
      <protection locked="0"/>
    </xf>
    <xf numFmtId="0" fontId="0" fillId="3" borderId="1" xfId="0" applyFill="1" applyBorder="1" applyAlignment="1" applyProtection="1">
      <alignment horizontal="center" vertical="center"/>
    </xf>
    <xf numFmtId="0" fontId="0" fillId="16" borderId="28" xfId="0" applyFont="1" applyFill="1" applyBorder="1" applyAlignment="1" applyProtection="1">
      <alignment horizontal="left" vertical="center"/>
    </xf>
    <xf numFmtId="0" fontId="0" fillId="16" borderId="28" xfId="0" applyFont="1" applyFill="1" applyBorder="1" applyAlignment="1">
      <alignment horizontal="left" vertical="center"/>
    </xf>
    <xf numFmtId="0" fontId="0" fillId="17" borderId="1" xfId="0" applyFill="1" applyBorder="1" applyAlignment="1" applyProtection="1">
      <alignment horizontal="center" vertical="center"/>
    </xf>
    <xf numFmtId="0" fontId="0" fillId="17" borderId="34" xfId="0" applyFill="1" applyBorder="1" applyAlignment="1" applyProtection="1">
      <alignment horizontal="center" vertical="center"/>
    </xf>
    <xf numFmtId="0" fontId="0" fillId="17" borderId="11" xfId="0" applyFill="1" applyBorder="1" applyAlignment="1" applyProtection="1">
      <alignment horizontal="center" vertical="center"/>
    </xf>
    <xf numFmtId="169" fontId="0" fillId="0" borderId="0" xfId="0" applyNumberFormat="1" applyBorder="1" applyProtection="1"/>
    <xf numFmtId="0" fontId="0" fillId="3" borderId="45" xfId="0" applyFill="1" applyBorder="1" applyAlignment="1" applyProtection="1">
      <alignment horizontal="center" vertical="center"/>
    </xf>
    <xf numFmtId="0" fontId="0" fillId="2" borderId="45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Protection="1"/>
    <xf numFmtId="0" fontId="15" fillId="10" borderId="1" xfId="0" applyFont="1" applyFill="1" applyBorder="1" applyAlignment="1" applyProtection="1">
      <alignment horizontal="center" wrapText="1"/>
    </xf>
    <xf numFmtId="0" fontId="4" fillId="4" borderId="18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4" borderId="16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/>
    </xf>
    <xf numFmtId="0" fontId="0" fillId="17" borderId="1" xfId="0" applyFill="1" applyBorder="1" applyAlignment="1" applyProtection="1">
      <alignment horizontal="center" vertical="center"/>
    </xf>
    <xf numFmtId="0" fontId="0" fillId="0" borderId="34" xfId="0" applyBorder="1" applyAlignment="1" applyProtection="1">
      <alignment horizontal="left" vertical="center" wrapText="1"/>
    </xf>
    <xf numFmtId="0" fontId="0" fillId="0" borderId="35" xfId="0" applyBorder="1" applyAlignment="1" applyProtection="1">
      <alignment horizontal="left" vertical="center" wrapText="1"/>
    </xf>
    <xf numFmtId="0" fontId="0" fillId="17" borderId="10" xfId="0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14" fillId="10" borderId="2" xfId="0" applyFont="1" applyFill="1" applyBorder="1" applyAlignment="1" applyProtection="1">
      <alignment horizontal="center" vertical="center" wrapText="1"/>
    </xf>
    <xf numFmtId="0" fontId="14" fillId="10" borderId="3" xfId="0" applyFont="1" applyFill="1" applyBorder="1" applyAlignment="1" applyProtection="1">
      <alignment horizontal="center" vertical="center" wrapText="1"/>
    </xf>
    <xf numFmtId="0" fontId="14" fillId="10" borderId="44" xfId="0" applyFont="1" applyFill="1" applyBorder="1" applyAlignment="1" applyProtection="1">
      <alignment horizontal="center" vertical="center" wrapText="1"/>
    </xf>
    <xf numFmtId="0" fontId="14" fillId="10" borderId="41" xfId="0" applyFont="1" applyFill="1" applyBorder="1" applyAlignment="1" applyProtection="1">
      <alignment horizontal="center" vertical="center" wrapText="1"/>
    </xf>
    <xf numFmtId="0" fontId="16" fillId="10" borderId="2" xfId="0" applyFont="1" applyFill="1" applyBorder="1" applyAlignment="1" applyProtection="1">
      <alignment horizontal="center" vertical="center" wrapText="1"/>
    </xf>
    <xf numFmtId="0" fontId="16" fillId="10" borderId="3" xfId="0" applyFont="1" applyFill="1" applyBorder="1" applyAlignment="1" applyProtection="1">
      <alignment horizontal="center" vertical="center" wrapText="1"/>
    </xf>
    <xf numFmtId="0" fontId="16" fillId="10" borderId="7" xfId="0" applyFont="1" applyFill="1" applyBorder="1" applyAlignment="1" applyProtection="1">
      <alignment horizontal="center" vertical="center" wrapText="1"/>
    </xf>
    <xf numFmtId="0" fontId="16" fillId="10" borderId="8" xfId="0" applyFont="1" applyFill="1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wrapText="1"/>
    </xf>
    <xf numFmtId="0" fontId="0" fillId="0" borderId="21" xfId="0" applyBorder="1" applyAlignment="1" applyProtection="1">
      <alignment horizontal="center" wrapText="1"/>
    </xf>
    <xf numFmtId="0" fontId="0" fillId="0" borderId="22" xfId="0" applyBorder="1" applyAlignment="1" applyProtection="1">
      <alignment horizontal="center" wrapText="1"/>
    </xf>
    <xf numFmtId="0" fontId="0" fillId="0" borderId="25" xfId="0" applyBorder="1" applyAlignment="1" applyProtection="1">
      <alignment horizontal="center" wrapText="1"/>
    </xf>
    <xf numFmtId="0" fontId="0" fillId="0" borderId="26" xfId="0" applyBorder="1" applyAlignment="1" applyProtection="1">
      <alignment horizontal="center" wrapText="1"/>
    </xf>
    <xf numFmtId="0" fontId="0" fillId="0" borderId="27" xfId="0" applyBorder="1" applyAlignment="1" applyProtection="1">
      <alignment horizontal="center" wrapText="1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numFmt numFmtId="2" formatCode="0.00"/>
      <fill>
        <patternFill patternType="solid">
          <fgColor indexed="64"/>
          <bgColor rgb="FFE7E8E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numFmt numFmtId="2" formatCode="0.00"/>
      <fill>
        <patternFill patternType="solid">
          <fgColor indexed="64"/>
          <bgColor rgb="FFE7E8E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numFmt numFmtId="2" formatCode="0.00"/>
      <fill>
        <patternFill patternType="solid">
          <fgColor indexed="64"/>
          <bgColor rgb="FFE7E8E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numFmt numFmtId="2" formatCode="0.00"/>
      <fill>
        <patternFill patternType="solid">
          <fgColor indexed="64"/>
          <bgColor rgb="FFE7E8E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numFmt numFmtId="2" formatCode="0.00"/>
      <fill>
        <patternFill patternType="solid">
          <fgColor indexed="64"/>
          <bgColor rgb="FFE7E8EA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numFmt numFmtId="2" formatCode="0.00"/>
      <fill>
        <patternFill patternType="solid">
          <fgColor indexed="64"/>
          <bgColor rgb="FFE7E8EA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fill>
        <patternFill patternType="solid">
          <fgColor indexed="64"/>
          <bgColor rgb="FFE7E8EA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1F221D"/>
        <name val="Arial"/>
        <scheme val="none"/>
      </font>
      <fill>
        <patternFill patternType="solid">
          <fgColor indexed="64"/>
          <bgColor rgb="FFE7E8EA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0</xdr:rowOff>
    </xdr:from>
    <xdr:to>
      <xdr:col>2</xdr:col>
      <xdr:colOff>180975</xdr:colOff>
      <xdr:row>7</xdr:row>
      <xdr:rowOff>104775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0"/>
          <a:ext cx="1666875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9</xdr:row>
      <xdr:rowOff>190499</xdr:rowOff>
    </xdr:from>
    <xdr:to>
      <xdr:col>2</xdr:col>
      <xdr:colOff>180976</xdr:colOff>
      <xdr:row>12</xdr:row>
      <xdr:rowOff>400049</xdr:rowOff>
    </xdr:to>
    <xdr:pic>
      <xdr:nvPicPr>
        <xdr:cNvPr id="3" name="2 Imagen" descr="calc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8" r="52941"/>
        <a:stretch/>
      </xdr:blipFill>
      <xdr:spPr bwMode="auto">
        <a:xfrm>
          <a:off x="47626" y="2476499"/>
          <a:ext cx="16573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361951</xdr:colOff>
      <xdr:row>30</xdr:row>
      <xdr:rowOff>152400</xdr:rowOff>
    </xdr:from>
    <xdr:to>
      <xdr:col>15</xdr:col>
      <xdr:colOff>419101</xdr:colOff>
      <xdr:row>60</xdr:row>
      <xdr:rowOff>85725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1565" t="14502" r="18740" b="6364"/>
        <a:stretch/>
      </xdr:blipFill>
      <xdr:spPr>
        <a:xfrm>
          <a:off x="4933951" y="3581400"/>
          <a:ext cx="7277100" cy="6029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57150</xdr:rowOff>
    </xdr:from>
    <xdr:to>
      <xdr:col>6</xdr:col>
      <xdr:colOff>676275</xdr:colOff>
      <xdr:row>48</xdr:row>
      <xdr:rowOff>19050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9900"/>
          <a:ext cx="4800600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7</xdr:col>
      <xdr:colOff>57150</xdr:colOff>
      <xdr:row>82</xdr:row>
      <xdr:rowOff>104775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785" t="11252" r="28663" b="4863"/>
        <a:stretch/>
      </xdr:blipFill>
      <xdr:spPr>
        <a:xfrm>
          <a:off x="0" y="5048250"/>
          <a:ext cx="4943475" cy="6391275"/>
        </a:xfrm>
        <a:prstGeom prst="rect">
          <a:avLst/>
        </a:prstGeom>
      </xdr:spPr>
    </xdr:pic>
    <xdr:clientData/>
  </xdr:twoCellAnchor>
  <xdr:oneCellAnchor>
    <xdr:from>
      <xdr:col>6</xdr:col>
      <xdr:colOff>19049</xdr:colOff>
      <xdr:row>7</xdr:row>
      <xdr:rowOff>33337</xdr:rowOff>
    </xdr:from>
    <xdr:ext cx="1981201" cy="4249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3 CuadroTexto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 txBox="1"/>
          </xdr:nvSpPr>
          <xdr:spPr>
            <a:xfrm>
              <a:off x="4143374" y="1462087"/>
              <a:ext cx="1981201" cy="4249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ES_tradnl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_tradnl" sz="1100" b="0" i="1">
                            <a:latin typeface="Cambria Math"/>
                          </a:rPr>
                          <m:t>𝑙𝑏</m:t>
                        </m:r>
                      </m:num>
                      <m:den>
                        <m:r>
                          <a:rPr lang="es-ES_tradnl" sz="1100" b="0" i="1">
                            <a:latin typeface="Cambria Math"/>
                          </a:rPr>
                          <m:t>h</m:t>
                        </m:r>
                      </m:den>
                    </m:f>
                    <m:r>
                      <a:rPr lang="es-ES_tradnl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ES_tradnl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_tradnl" sz="1100" b="0" i="1">
                            <a:latin typeface="Cambria Math"/>
                          </a:rPr>
                          <m:t>𝐺</m:t>
                        </m:r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r>
                          <a:rPr lang="es-ES_tradnl" sz="1100" b="0" i="1">
                            <a:latin typeface="Cambria Math"/>
                          </a:rPr>
                          <m:t>𝑠</m:t>
                        </m:r>
                        <m:r>
                          <a:rPr lang="es-ES_tradnl" sz="1100" b="0" i="1">
                            <a:latin typeface="Cambria Math"/>
                          </a:rPr>
                          <m:t>.</m:t>
                        </m:r>
                        <m:r>
                          <a:rPr lang="es-ES_tradnl" sz="1100" b="0" i="1">
                            <a:latin typeface="Cambria Math"/>
                          </a:rPr>
                          <m:t>𝑔</m:t>
                        </m:r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sSub>
                          <m:sSubPr>
                            <m:ctrlPr>
                              <a:rPr lang="es-ES_tradn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ES_tradnl" sz="1100" b="0" i="1">
                                <a:latin typeface="Cambria Math"/>
                              </a:rPr>
                              <m:t>𝐶</m:t>
                            </m:r>
                          </m:e>
                          <m:sub>
                            <m:r>
                              <a:rPr lang="es-ES_tradnl" sz="1100" b="0" i="1">
                                <a:latin typeface="Cambria Math"/>
                              </a:rPr>
                              <m:t>𝑝</m:t>
                            </m:r>
                          </m:sub>
                        </m:sSub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r>
                          <a:rPr lang="es-ES_tradnl" sz="1100" b="0" i="1">
                            <a:latin typeface="Cambria Math"/>
                            <a:ea typeface="Cambria Math"/>
                          </a:rPr>
                          <m:t>∆</m:t>
                        </m:r>
                        <m:r>
                          <a:rPr lang="es-ES_tradnl" sz="1100" b="0" i="1">
                            <a:latin typeface="Cambria Math"/>
                            <a:ea typeface="Cambria Math"/>
                          </a:rPr>
                          <m:t>𝑇</m:t>
                        </m:r>
                        <m:r>
                          <a:rPr lang="es-ES_tradnl" sz="1100" b="0" i="1">
                            <a:latin typeface="Cambria Math"/>
                            <a:ea typeface="Cambria Math"/>
                          </a:rPr>
                          <m:t>∗8,3</m:t>
                        </m:r>
                      </m:num>
                      <m:den>
                        <m:r>
                          <a:rPr lang="es-ES_tradnl" sz="1100" b="0" i="1">
                            <a:latin typeface="Cambria Math"/>
                          </a:rPr>
                          <m:t>𝐿</m:t>
                        </m:r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r>
                          <a:rPr lang="es-ES_tradnl" sz="1100" b="0" i="1">
                            <a:latin typeface="Cambria Math"/>
                          </a:rPr>
                          <m:t>𝑡</m:t>
                        </m:r>
                      </m:den>
                    </m:f>
                  </m:oMath>
                </m:oMathPara>
              </a14:m>
              <a:endParaRPr lang="es-ES_tradnl" sz="1100"/>
            </a:p>
          </xdr:txBody>
        </xdr:sp>
      </mc:Choice>
      <mc:Fallback xmlns="">
        <xdr:sp macro="" textlink="">
          <xdr:nvSpPr>
            <xdr:cNvPr id="4" name="3 CuadroTexto"/>
            <xdr:cNvSpPr txBox="1"/>
          </xdr:nvSpPr>
          <xdr:spPr>
            <a:xfrm>
              <a:off x="4143374" y="1462087"/>
              <a:ext cx="1981201" cy="4249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_tradnl" sz="1100" b="0" i="0">
                  <a:latin typeface="Cambria Math"/>
                </a:rPr>
                <a:t>𝑙𝑏/ℎ=(𝐺∗𝑠.𝑔∗𝐶_𝑝∗</a:t>
              </a:r>
              <a:r>
                <a:rPr lang="es-ES_tradnl" sz="1100" b="0" i="0">
                  <a:latin typeface="Cambria Math"/>
                  <a:ea typeface="Cambria Math"/>
                </a:rPr>
                <a:t>∆𝑇∗8,3)/(</a:t>
              </a:r>
              <a:r>
                <a:rPr lang="es-ES_tradnl" sz="1100" b="0" i="0">
                  <a:latin typeface="Cambria Math"/>
                </a:rPr>
                <a:t>𝐿∗𝑡)</a:t>
              </a:r>
              <a:endParaRPr lang="es-ES_tradnl" sz="1100"/>
            </a:p>
          </xdr:txBody>
        </xdr:sp>
      </mc:Fallback>
    </mc:AlternateContent>
    <xdr:clientData/>
  </xdr:oneCellAnchor>
  <xdr:oneCellAnchor>
    <xdr:from>
      <xdr:col>6</xdr:col>
      <xdr:colOff>38099</xdr:colOff>
      <xdr:row>10</xdr:row>
      <xdr:rowOff>52387</xdr:rowOff>
    </xdr:from>
    <xdr:ext cx="1981201" cy="5768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4 CuadroTexto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 txBox="1"/>
          </xdr:nvSpPr>
          <xdr:spPr>
            <a:xfrm>
              <a:off x="4162424" y="2052637"/>
              <a:ext cx="1981201" cy="5768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_tradnl" sz="1100" i="1">
                        <a:latin typeface="Cambria Math"/>
                      </a:rPr>
                      <m:t>𝑡</m:t>
                    </m:r>
                    <m:r>
                      <a:rPr lang="es-ES_tradnl" sz="11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s-ES_tradnl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_tradnl" sz="1100" b="0" i="1">
                            <a:latin typeface="Cambria Math"/>
                          </a:rPr>
                          <m:t>𝐺</m:t>
                        </m:r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r>
                          <a:rPr lang="es-ES_tradnl" sz="1100" b="0" i="1">
                            <a:latin typeface="Cambria Math"/>
                          </a:rPr>
                          <m:t>𝑠</m:t>
                        </m:r>
                        <m:r>
                          <a:rPr lang="es-ES_tradnl" sz="1100" b="0" i="1">
                            <a:latin typeface="Cambria Math"/>
                          </a:rPr>
                          <m:t>.</m:t>
                        </m:r>
                        <m:r>
                          <a:rPr lang="es-ES_tradnl" sz="1100" b="0" i="1">
                            <a:latin typeface="Cambria Math"/>
                          </a:rPr>
                          <m:t>𝑔</m:t>
                        </m:r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sSub>
                          <m:sSubPr>
                            <m:ctrlPr>
                              <a:rPr lang="es-ES_tradn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s-ES_tradnl" sz="1100" b="0" i="1">
                                <a:latin typeface="Cambria Math"/>
                              </a:rPr>
                              <m:t>𝐶</m:t>
                            </m:r>
                          </m:e>
                          <m:sub>
                            <m:r>
                              <a:rPr lang="es-ES_tradnl" sz="1100" b="0" i="1">
                                <a:latin typeface="Cambria Math"/>
                              </a:rPr>
                              <m:t>𝑝</m:t>
                            </m:r>
                          </m:sub>
                        </m:sSub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r>
                          <a:rPr lang="es-ES_tradnl" sz="1100" b="0" i="1">
                            <a:latin typeface="Cambria Math"/>
                            <a:ea typeface="Cambria Math"/>
                          </a:rPr>
                          <m:t>∆</m:t>
                        </m:r>
                        <m:r>
                          <a:rPr lang="es-ES_tradnl" sz="1100" b="0" i="1">
                            <a:latin typeface="Cambria Math"/>
                            <a:ea typeface="Cambria Math"/>
                          </a:rPr>
                          <m:t>𝑇</m:t>
                        </m:r>
                        <m:r>
                          <a:rPr lang="es-ES_tradnl" sz="1100" b="0" i="1">
                            <a:latin typeface="Cambria Math"/>
                            <a:ea typeface="Cambria Math"/>
                          </a:rPr>
                          <m:t>∗8,3</m:t>
                        </m:r>
                      </m:num>
                      <m:den>
                        <m:r>
                          <a:rPr lang="es-ES_tradnl" sz="1100" b="0" i="1">
                            <a:latin typeface="Cambria Math"/>
                          </a:rPr>
                          <m:t>𝐿</m:t>
                        </m:r>
                        <m:r>
                          <a:rPr lang="es-ES_tradnl" sz="1100" b="0" i="1">
                            <a:latin typeface="Cambria Math"/>
                          </a:rPr>
                          <m:t>∗</m:t>
                        </m:r>
                        <m:f>
                          <m:fPr>
                            <m:ctrlPr>
                              <a:rPr lang="es-ES_tradnl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s-ES_tradnl" sz="1100" b="0" i="1">
                                <a:latin typeface="Cambria Math"/>
                              </a:rPr>
                              <m:t>𝑙𝑏</m:t>
                            </m:r>
                          </m:num>
                          <m:den>
                            <m:r>
                              <a:rPr lang="es-ES_tradnl" sz="1100" b="0" i="1">
                                <a:latin typeface="Cambria Math"/>
                              </a:rPr>
                              <m:t>h</m:t>
                            </m:r>
                          </m:den>
                        </m:f>
                      </m:den>
                    </m:f>
                  </m:oMath>
                </m:oMathPara>
              </a14:m>
              <a:endParaRPr lang="es-ES_tradnl" sz="1100"/>
            </a:p>
          </xdr:txBody>
        </xdr:sp>
      </mc:Choice>
      <mc:Fallback xmlns="">
        <xdr:sp macro="" textlink="">
          <xdr:nvSpPr>
            <xdr:cNvPr id="5" name="4 CuadroTexto"/>
            <xdr:cNvSpPr txBox="1"/>
          </xdr:nvSpPr>
          <xdr:spPr>
            <a:xfrm>
              <a:off x="4162424" y="2052637"/>
              <a:ext cx="1981201" cy="5768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ES_tradnl" sz="1100" i="0">
                  <a:latin typeface="Cambria Math"/>
                </a:rPr>
                <a:t>𝑡</a:t>
              </a:r>
              <a:r>
                <a:rPr lang="es-ES_tradnl" sz="1100" b="0" i="0">
                  <a:latin typeface="Cambria Math"/>
                </a:rPr>
                <a:t>=(𝐺∗𝑠.𝑔∗𝐶_𝑝∗</a:t>
              </a:r>
              <a:r>
                <a:rPr lang="es-ES_tradnl" sz="1100" b="0" i="0">
                  <a:latin typeface="Cambria Math"/>
                  <a:ea typeface="Cambria Math"/>
                </a:rPr>
                <a:t>∆𝑇∗8,3)/(</a:t>
              </a:r>
              <a:r>
                <a:rPr lang="es-ES_tradnl" sz="1100" b="0" i="0">
                  <a:latin typeface="Cambria Math"/>
                </a:rPr>
                <a:t>𝐿∗𝑙𝑏/ℎ)</a:t>
              </a:r>
              <a:endParaRPr lang="es-ES_tradnl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3</xdr:col>
      <xdr:colOff>714375</xdr:colOff>
      <xdr:row>6</xdr:row>
      <xdr:rowOff>85725</xdr:rowOff>
    </xdr:to>
    <xdr:pic>
      <xdr:nvPicPr>
        <xdr:cNvPr id="2" name="1 Imagen" descr="calc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0" r="51167"/>
        <a:stretch/>
      </xdr:blipFill>
      <xdr:spPr bwMode="auto">
        <a:xfrm>
          <a:off x="66675" y="190500"/>
          <a:ext cx="2419350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130491</xdr:colOff>
      <xdr:row>12</xdr:row>
      <xdr:rowOff>0</xdr:rowOff>
    </xdr:from>
    <xdr:to>
      <xdr:col>3</xdr:col>
      <xdr:colOff>657224</xdr:colOff>
      <xdr:row>16</xdr:row>
      <xdr:rowOff>200025</xdr:rowOff>
    </xdr:to>
    <xdr:pic>
      <xdr:nvPicPr>
        <xdr:cNvPr id="3" name="2 Imagen" descr="calc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0" r="51167"/>
        <a:stretch/>
      </xdr:blipFill>
      <xdr:spPr bwMode="auto">
        <a:xfrm>
          <a:off x="130491" y="2343150"/>
          <a:ext cx="2298383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159066</xdr:colOff>
      <xdr:row>17</xdr:row>
      <xdr:rowOff>190500</xdr:rowOff>
    </xdr:from>
    <xdr:to>
      <xdr:col>3</xdr:col>
      <xdr:colOff>685799</xdr:colOff>
      <xdr:row>23</xdr:row>
      <xdr:rowOff>9525</xdr:rowOff>
    </xdr:to>
    <xdr:pic>
      <xdr:nvPicPr>
        <xdr:cNvPr id="4" name="3 Imagen" descr="calc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00" r="51167"/>
        <a:stretch/>
      </xdr:blipFill>
      <xdr:spPr bwMode="auto">
        <a:xfrm>
          <a:off x="159066" y="3533775"/>
          <a:ext cx="2298383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133350</xdr:rowOff>
    </xdr:from>
    <xdr:to>
      <xdr:col>2</xdr:col>
      <xdr:colOff>276225</xdr:colOff>
      <xdr:row>3</xdr:row>
      <xdr:rowOff>95250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23850"/>
          <a:ext cx="16668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5</xdr:row>
      <xdr:rowOff>114300</xdr:rowOff>
    </xdr:from>
    <xdr:to>
      <xdr:col>3</xdr:col>
      <xdr:colOff>590550</xdr:colOff>
      <xdr:row>7</xdr:row>
      <xdr:rowOff>76200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66800"/>
          <a:ext cx="26670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8</xdr:row>
      <xdr:rowOff>123825</xdr:rowOff>
    </xdr:from>
    <xdr:to>
      <xdr:col>4</xdr:col>
      <xdr:colOff>581025</xdr:colOff>
      <xdr:row>10</xdr:row>
      <xdr:rowOff>114300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47825"/>
          <a:ext cx="347662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361950</xdr:colOff>
      <xdr:row>10</xdr:row>
      <xdr:rowOff>123825</xdr:rowOff>
    </xdr:from>
    <xdr:to>
      <xdr:col>4</xdr:col>
      <xdr:colOff>581025</xdr:colOff>
      <xdr:row>12</xdr:row>
      <xdr:rowOff>85725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028825"/>
          <a:ext cx="326707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123825</xdr:colOff>
      <xdr:row>13</xdr:row>
      <xdr:rowOff>38100</xdr:rowOff>
    </xdr:from>
    <xdr:to>
      <xdr:col>4</xdr:col>
      <xdr:colOff>609600</xdr:colOff>
      <xdr:row>14</xdr:row>
      <xdr:rowOff>38100</xdr:rowOff>
    </xdr:to>
    <xdr:pic>
      <xdr:nvPicPr>
        <xdr:cNvPr id="13" name="12 Imagen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514600"/>
          <a:ext cx="35337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15</xdr:row>
      <xdr:rowOff>47625</xdr:rowOff>
    </xdr:from>
    <xdr:to>
      <xdr:col>3</xdr:col>
      <xdr:colOff>114300</xdr:colOff>
      <xdr:row>16</xdr:row>
      <xdr:rowOff>47625</xdr:rowOff>
    </xdr:to>
    <xdr:pic>
      <xdr:nvPicPr>
        <xdr:cNvPr id="14" name="13 Imagen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905125"/>
          <a:ext cx="223837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</xdr:colOff>
      <xdr:row>16</xdr:row>
      <xdr:rowOff>114300</xdr:rowOff>
    </xdr:from>
    <xdr:to>
      <xdr:col>5</xdr:col>
      <xdr:colOff>219075</xdr:colOff>
      <xdr:row>18</xdr:row>
      <xdr:rowOff>104775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162300"/>
          <a:ext cx="4019550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</xdr:colOff>
      <xdr:row>19</xdr:row>
      <xdr:rowOff>28575</xdr:rowOff>
    </xdr:from>
    <xdr:to>
      <xdr:col>3</xdr:col>
      <xdr:colOff>752475</xdr:colOff>
      <xdr:row>20</xdr:row>
      <xdr:rowOff>28575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48075"/>
          <a:ext cx="2943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0</xdr:rowOff>
    </xdr:from>
    <xdr:to>
      <xdr:col>3</xdr:col>
      <xdr:colOff>38100</xdr:colOff>
      <xdr:row>4</xdr:row>
      <xdr:rowOff>142875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1000"/>
          <a:ext cx="22002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171450</xdr:rowOff>
    </xdr:from>
    <xdr:to>
      <xdr:col>7</xdr:col>
      <xdr:colOff>114300</xdr:colOff>
      <xdr:row>34</xdr:row>
      <xdr:rowOff>104775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8129" t="11252" r="25225" b="4614"/>
        <a:stretch/>
      </xdr:blipFill>
      <xdr:spPr>
        <a:xfrm>
          <a:off x="28575" y="171450"/>
          <a:ext cx="5686425" cy="64103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4" displayName="Tabla4" ref="R2:W126" totalsRowShown="0" headerRowDxfId="10" dataDxfId="8" headerRowBorderDxfId="9" tableBorderDxfId="7" totalsRowBorderDxfId="6">
  <autoFilter ref="R2:W126" xr:uid="{00000000-0009-0000-0100-000004000000}"/>
  <tableColumns count="6">
    <tableColumn id="1" xr3:uid="{00000000-0010-0000-0000-000001000000}" name="PSIG" dataDxfId="5"/>
    <tableColumn id="2" xr3:uid="{00000000-0010-0000-0000-000002000000}" name="°F" dataDxfId="4"/>
    <tableColumn id="3" xr3:uid="{00000000-0010-0000-0000-000003000000}" name="Sensible" dataDxfId="3"/>
    <tableColumn id="4" xr3:uid="{00000000-0010-0000-0000-000004000000}" name="Latent" dataDxfId="2"/>
    <tableColumn id="5" xr3:uid="{00000000-0010-0000-0000-000005000000}" name="Total" dataDxfId="1"/>
    <tableColumn id="6" xr3:uid="{00000000-0010-0000-0000-000006000000}" name="Cu. ft. Per lb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G126"/>
  <sheetViews>
    <sheetView showGridLines="0" tabSelected="1" workbookViewId="0">
      <selection activeCell="K3" sqref="K3"/>
    </sheetView>
  </sheetViews>
  <sheetFormatPr baseColWidth="10" defaultRowHeight="15"/>
  <cols>
    <col min="1" max="5" width="11.42578125" style="2"/>
    <col min="6" max="6" width="12" style="2" bestFit="1" customWidth="1"/>
    <col min="7" max="7" width="11.42578125" style="2"/>
    <col min="8" max="8" width="14.5703125" style="2" bestFit="1" customWidth="1"/>
    <col min="9" max="9" width="11.42578125" style="2"/>
    <col min="10" max="10" width="13.28515625" style="2" bestFit="1" customWidth="1"/>
    <col min="11" max="11" width="11.85546875" style="2" bestFit="1" customWidth="1"/>
    <col min="12" max="22" width="11.42578125" style="2"/>
    <col min="23" max="23" width="13.140625" style="2" customWidth="1"/>
    <col min="24" max="25" width="11.42578125" style="2"/>
    <col min="26" max="26" width="16.7109375" style="2" bestFit="1" customWidth="1"/>
    <col min="27" max="27" width="11.42578125" style="2"/>
    <col min="28" max="28" width="11.85546875" style="2" bestFit="1" customWidth="1"/>
    <col min="29" max="29" width="14.5703125" style="2" bestFit="1" customWidth="1"/>
    <col min="30" max="30" width="13" style="2" bestFit="1" customWidth="1"/>
    <col min="31" max="31" width="14.5703125" style="2" bestFit="1" customWidth="1"/>
    <col min="32" max="33" width="19.140625" style="2" bestFit="1" customWidth="1"/>
    <col min="34" max="16384" width="11.42578125" style="2"/>
  </cols>
  <sheetData>
    <row r="1" spans="1:33" ht="22.5" customHeight="1" thickBot="1">
      <c r="A1" s="6" t="s">
        <v>0</v>
      </c>
      <c r="B1" s="7"/>
      <c r="C1" s="7"/>
      <c r="D1" s="7"/>
      <c r="E1" s="7"/>
      <c r="F1" s="7"/>
      <c r="G1" s="7"/>
      <c r="H1" s="7"/>
      <c r="I1" s="7"/>
      <c r="J1" s="293" t="s">
        <v>118</v>
      </c>
      <c r="K1" s="294"/>
      <c r="L1" s="294"/>
      <c r="M1" s="7"/>
      <c r="N1" s="8"/>
      <c r="R1" s="43" t="s">
        <v>55</v>
      </c>
      <c r="S1" s="43" t="s">
        <v>56</v>
      </c>
      <c r="T1" s="281" t="s">
        <v>49</v>
      </c>
      <c r="U1" s="282"/>
      <c r="V1" s="283"/>
      <c r="W1" s="43" t="s">
        <v>57</v>
      </c>
      <c r="Z1" s="48" t="s">
        <v>59</v>
      </c>
      <c r="AA1" s="48" t="s">
        <v>60</v>
      </c>
      <c r="AB1" s="48" t="s">
        <v>61</v>
      </c>
      <c r="AC1" s="48" t="s">
        <v>62</v>
      </c>
      <c r="AD1" s="48" t="s">
        <v>63</v>
      </c>
      <c r="AE1" s="48" t="s">
        <v>64</v>
      </c>
      <c r="AF1" s="48" t="s">
        <v>65</v>
      </c>
      <c r="AG1" s="48" t="s">
        <v>66</v>
      </c>
    </row>
    <row r="2" spans="1:33" ht="15" customHeight="1">
      <c r="A2" s="9"/>
      <c r="B2" s="10"/>
      <c r="C2" s="10"/>
      <c r="D2" s="280" t="s">
        <v>115</v>
      </c>
      <c r="E2" s="280"/>
      <c r="F2" s="10"/>
      <c r="G2" s="267" t="s">
        <v>112</v>
      </c>
      <c r="H2" s="267" t="s">
        <v>113</v>
      </c>
      <c r="I2" s="10"/>
      <c r="J2" s="295"/>
      <c r="K2" s="296"/>
      <c r="L2" s="296"/>
      <c r="M2" s="10"/>
      <c r="N2" s="11"/>
      <c r="R2" s="45" t="s">
        <v>50</v>
      </c>
      <c r="S2" s="44" t="s">
        <v>51</v>
      </c>
      <c r="T2" s="46" t="s">
        <v>52</v>
      </c>
      <c r="U2" s="46" t="s">
        <v>53</v>
      </c>
      <c r="V2" s="46" t="s">
        <v>54</v>
      </c>
      <c r="W2" s="47" t="s">
        <v>58</v>
      </c>
      <c r="Z2" s="49">
        <v>29.742999999999999</v>
      </c>
      <c r="AA2" s="49">
        <v>8.8539999999999994E-2</v>
      </c>
      <c r="AB2" s="49">
        <v>32</v>
      </c>
      <c r="AC2" s="49">
        <v>0</v>
      </c>
      <c r="AD2" s="49">
        <v>1075.8</v>
      </c>
      <c r="AE2" s="49">
        <v>1075.8</v>
      </c>
      <c r="AF2" s="49">
        <v>9.6021999999999996E-2</v>
      </c>
      <c r="AG2" s="49">
        <v>3306</v>
      </c>
    </row>
    <row r="3" spans="1:33" ht="15.75" thickBot="1">
      <c r="A3" s="9"/>
      <c r="B3" s="10"/>
      <c r="C3" s="10"/>
      <c r="D3" s="286" t="s">
        <v>111</v>
      </c>
      <c r="E3" s="286"/>
      <c r="F3" s="274">
        <f>(2.4*$F$4*$F$5)/$F$7</f>
        <v>5899.1670871650795</v>
      </c>
      <c r="G3" s="276">
        <f>$F$3/60</f>
        <v>98.319451452751323</v>
      </c>
      <c r="H3" s="277">
        <f>$G$3/3.280839895</f>
        <v>29.967768802918474</v>
      </c>
      <c r="I3" s="10"/>
      <c r="J3" s="270" t="s">
        <v>15</v>
      </c>
      <c r="K3" s="278">
        <v>1244</v>
      </c>
      <c r="L3" s="265" t="s">
        <v>10</v>
      </c>
      <c r="M3" s="10"/>
      <c r="N3" s="11"/>
      <c r="R3" s="36">
        <v>-25</v>
      </c>
      <c r="S3" s="34">
        <v>134</v>
      </c>
      <c r="T3" s="34">
        <v>102</v>
      </c>
      <c r="U3" s="34">
        <v>1017</v>
      </c>
      <c r="V3" s="34">
        <v>1119</v>
      </c>
      <c r="W3" s="38">
        <v>142</v>
      </c>
      <c r="Z3" s="49">
        <v>29.515000000000001</v>
      </c>
      <c r="AA3" s="49">
        <v>0.2</v>
      </c>
      <c r="AB3" s="49">
        <v>53.14</v>
      </c>
      <c r="AC3" s="49">
        <v>21.21</v>
      </c>
      <c r="AD3" s="49">
        <v>1063.8</v>
      </c>
      <c r="AE3" s="49">
        <v>1085</v>
      </c>
      <c r="AF3" s="49">
        <v>1.6027E-2</v>
      </c>
      <c r="AG3" s="49">
        <v>1526</v>
      </c>
    </row>
    <row r="4" spans="1:33" ht="30" customHeight="1">
      <c r="A4" s="9"/>
      <c r="B4" s="10"/>
      <c r="C4" s="10"/>
      <c r="D4" s="285" t="s">
        <v>110</v>
      </c>
      <c r="E4" s="285"/>
      <c r="F4" s="272">
        <f>$K$3</f>
        <v>1244</v>
      </c>
      <c r="G4" s="10"/>
      <c r="H4" s="10"/>
      <c r="I4" s="10"/>
      <c r="J4" s="270" t="s">
        <v>14</v>
      </c>
      <c r="K4" s="272">
        <f>VLOOKUP(K6,Tabla4[],6,FALSE)</f>
        <v>9.4600000000000009</v>
      </c>
      <c r="L4" s="265" t="s">
        <v>11</v>
      </c>
      <c r="M4" s="10"/>
      <c r="N4" s="11"/>
      <c r="R4" s="37">
        <v>-20</v>
      </c>
      <c r="S4" s="35">
        <v>162</v>
      </c>
      <c r="T4" s="35">
        <v>129</v>
      </c>
      <c r="U4" s="35">
        <v>1001</v>
      </c>
      <c r="V4" s="35">
        <v>1130</v>
      </c>
      <c r="W4" s="39">
        <v>73.900000000000006</v>
      </c>
      <c r="Z4" s="49">
        <v>27.885999999999999</v>
      </c>
      <c r="AA4" s="49">
        <v>1</v>
      </c>
      <c r="AB4" s="49">
        <v>101.74</v>
      </c>
      <c r="AC4" s="49">
        <v>69.7</v>
      </c>
      <c r="AD4" s="49">
        <v>1036.3</v>
      </c>
      <c r="AE4" s="49">
        <v>1106</v>
      </c>
      <c r="AF4" s="49">
        <v>1.6136000000000001E-2</v>
      </c>
      <c r="AG4" s="49">
        <v>333.6</v>
      </c>
    </row>
    <row r="5" spans="1:33">
      <c r="A5" s="9"/>
      <c r="B5" s="10"/>
      <c r="C5" s="10"/>
      <c r="D5" s="285" t="s">
        <v>109</v>
      </c>
      <c r="E5" s="285"/>
      <c r="F5" s="287">
        <f>$K$4</f>
        <v>9.4600000000000009</v>
      </c>
      <c r="G5" s="10"/>
      <c r="H5" s="275"/>
      <c r="I5" s="10"/>
      <c r="J5" s="270" t="s">
        <v>13</v>
      </c>
      <c r="K5" s="263">
        <v>2.5</v>
      </c>
      <c r="L5" s="265" t="s">
        <v>12</v>
      </c>
      <c r="M5" s="265" t="s">
        <v>106</v>
      </c>
      <c r="N5" s="11"/>
      <c r="R5" s="37">
        <v>-15</v>
      </c>
      <c r="S5" s="35">
        <v>179</v>
      </c>
      <c r="T5" s="35">
        <v>147</v>
      </c>
      <c r="U5" s="35">
        <v>990</v>
      </c>
      <c r="V5" s="35">
        <v>1137</v>
      </c>
      <c r="W5" s="39">
        <v>51.3</v>
      </c>
      <c r="Z5" s="49">
        <v>19.742000000000001</v>
      </c>
      <c r="AA5" s="49">
        <v>5</v>
      </c>
      <c r="AB5" s="49">
        <v>162.24</v>
      </c>
      <c r="AC5" s="49">
        <v>130.13</v>
      </c>
      <c r="AD5" s="49">
        <v>1001</v>
      </c>
      <c r="AE5" s="49">
        <v>1131.0999999999999</v>
      </c>
      <c r="AF5" s="49">
        <v>1.6407000000000001E-2</v>
      </c>
      <c r="AG5" s="49">
        <v>73.52</v>
      </c>
    </row>
    <row r="6" spans="1:33" ht="18">
      <c r="A6" s="9"/>
      <c r="B6" s="10"/>
      <c r="C6" s="10"/>
      <c r="D6" s="285"/>
      <c r="E6" s="285"/>
      <c r="F6" s="287"/>
      <c r="G6" s="10"/>
      <c r="H6" s="10"/>
      <c r="I6" s="10"/>
      <c r="J6" s="271" t="s">
        <v>17</v>
      </c>
      <c r="K6" s="264">
        <v>30</v>
      </c>
      <c r="L6" s="266" t="s">
        <v>18</v>
      </c>
      <c r="M6" s="10"/>
      <c r="N6" s="11"/>
      <c r="R6" s="37">
        <v>-10</v>
      </c>
      <c r="S6" s="35">
        <v>192</v>
      </c>
      <c r="T6" s="35">
        <v>160</v>
      </c>
      <c r="U6" s="35">
        <v>982</v>
      </c>
      <c r="V6" s="35">
        <v>1142</v>
      </c>
      <c r="W6" s="39">
        <v>39.4</v>
      </c>
      <c r="Z6" s="49">
        <v>9.5619999999999994</v>
      </c>
      <c r="AA6" s="49">
        <v>10</v>
      </c>
      <c r="AB6" s="49">
        <v>193.21</v>
      </c>
      <c r="AC6" s="49">
        <v>161.16999999999999</v>
      </c>
      <c r="AD6" s="49">
        <v>982.1</v>
      </c>
      <c r="AE6" s="49">
        <v>1143.3</v>
      </c>
      <c r="AF6" s="49">
        <v>1.6590000000000001E-2</v>
      </c>
      <c r="AG6" s="49">
        <v>38.42</v>
      </c>
    </row>
    <row r="7" spans="1:33">
      <c r="A7" s="9"/>
      <c r="B7" s="10"/>
      <c r="C7" s="10"/>
      <c r="D7" s="259" t="s">
        <v>2</v>
      </c>
      <c r="E7" s="259"/>
      <c r="F7" s="272">
        <f>+IF($K$5=1/8,$AB$45,IF($K$5=1/4, $AB$46,IF($K$5=3/8, $AB$47,IF($K$5=1/2, $AB$48,IF($K$5=3/4, $AB$49,IF($K$5=1, $AB$50,IF($K$5=1.25, $AB$51,IF($K$5=1.5, $AB$52,IF($K$5=2, $AB$53,IF($K$5=2.5, $AB$54,IF($K$5=3, $AB$55,IF($K$5=3.5, $AB$56,IF($K$5=4, $AB$57,IF($K$5=5, $AB$58,IF($K$5=6, $AB$59,IF($K$5=8, $AB$60,IF($K$5=10, $AB$61,IF($K$5=12, $AB$62,IF($K$5=14, $AB$63,IF($K$5=16, $AB$64,IF($K$5=18, $AB$65,IF($K$5=20, $AB$66,IF($K$5=24,$AB$67,0)))))))))))))))))))))))</f>
        <v>4.7877565735424712</v>
      </c>
      <c r="G7" s="10"/>
      <c r="H7" s="10"/>
      <c r="I7" s="10"/>
      <c r="J7" s="9"/>
      <c r="K7" s="10"/>
      <c r="L7" s="10"/>
      <c r="M7" s="10"/>
      <c r="N7" s="11"/>
      <c r="R7" s="37">
        <v>-5</v>
      </c>
      <c r="S7" s="35">
        <v>203</v>
      </c>
      <c r="T7" s="35">
        <v>171</v>
      </c>
      <c r="U7" s="35">
        <v>976</v>
      </c>
      <c r="V7" s="35">
        <v>1147</v>
      </c>
      <c r="W7" s="39">
        <v>31.8</v>
      </c>
      <c r="Z7" s="49">
        <v>7.5359999999999996</v>
      </c>
      <c r="AA7" s="49">
        <v>11</v>
      </c>
      <c r="AB7" s="49">
        <v>197.75</v>
      </c>
      <c r="AC7" s="49">
        <v>165.73</v>
      </c>
      <c r="AD7" s="49">
        <v>979.3</v>
      </c>
      <c r="AE7" s="49">
        <v>1145</v>
      </c>
      <c r="AF7" s="49">
        <v>1.6619999999999999E-2</v>
      </c>
      <c r="AG7" s="49">
        <v>35.14</v>
      </c>
    </row>
    <row r="8" spans="1:33">
      <c r="A8" s="9"/>
      <c r="B8" s="10"/>
      <c r="C8" s="10"/>
      <c r="D8" s="10"/>
      <c r="E8" s="10"/>
      <c r="F8" s="10"/>
      <c r="G8" s="10"/>
      <c r="H8" s="10"/>
      <c r="I8" s="10"/>
      <c r="J8" s="9"/>
      <c r="K8" s="10"/>
      <c r="L8" s="10"/>
      <c r="M8" s="10"/>
      <c r="N8" s="11"/>
      <c r="R8" s="36">
        <v>0</v>
      </c>
      <c r="S8" s="34">
        <v>212</v>
      </c>
      <c r="T8" s="34">
        <v>180</v>
      </c>
      <c r="U8" s="34">
        <v>970</v>
      </c>
      <c r="V8" s="34">
        <v>1150</v>
      </c>
      <c r="W8" s="38">
        <v>26.8</v>
      </c>
      <c r="Z8" s="49">
        <v>5.49</v>
      </c>
      <c r="AA8" s="49">
        <v>12</v>
      </c>
      <c r="AB8" s="49">
        <v>201.96</v>
      </c>
      <c r="AC8" s="49">
        <v>169.96</v>
      </c>
      <c r="AD8" s="49">
        <v>976.6</v>
      </c>
      <c r="AE8" s="49">
        <v>1146.5999999999999</v>
      </c>
      <c r="AF8" s="49">
        <v>1.6646999999999999E-2</v>
      </c>
      <c r="AG8" s="49">
        <v>32.4</v>
      </c>
    </row>
    <row r="9" spans="1:33">
      <c r="A9" s="9"/>
      <c r="B9" s="10"/>
      <c r="C9" s="10"/>
      <c r="D9" s="10"/>
      <c r="E9" s="10"/>
      <c r="F9" s="10"/>
      <c r="G9" s="10"/>
      <c r="H9" s="10"/>
      <c r="I9" s="10"/>
      <c r="J9" s="9"/>
      <c r="K9" s="10"/>
      <c r="L9" s="10"/>
      <c r="M9" s="10"/>
      <c r="N9" s="11"/>
      <c r="R9" s="37">
        <v>1</v>
      </c>
      <c r="S9" s="35">
        <v>215</v>
      </c>
      <c r="T9" s="35">
        <v>183</v>
      </c>
      <c r="U9" s="35">
        <v>968</v>
      </c>
      <c r="V9" s="35">
        <v>1151</v>
      </c>
      <c r="W9" s="39">
        <v>25.2</v>
      </c>
      <c r="Z9" s="49">
        <v>3.4540000000000002</v>
      </c>
      <c r="AA9" s="49">
        <v>13</v>
      </c>
      <c r="AB9" s="49">
        <v>205.88</v>
      </c>
      <c r="AC9" s="49">
        <v>173.91</v>
      </c>
      <c r="AD9" s="49">
        <v>974.2</v>
      </c>
      <c r="AE9" s="49">
        <v>1148.0999999999999</v>
      </c>
      <c r="AF9" s="49">
        <v>1.6674000000000001E-2</v>
      </c>
      <c r="AG9" s="49">
        <v>30.06</v>
      </c>
    </row>
    <row r="10" spans="1:33" ht="15.75" thickBot="1">
      <c r="A10" s="9" t="s">
        <v>3</v>
      </c>
      <c r="B10" s="10"/>
      <c r="C10" s="10"/>
      <c r="D10" s="280" t="s">
        <v>115</v>
      </c>
      <c r="E10" s="280"/>
      <c r="F10" s="10"/>
      <c r="G10" s="10"/>
      <c r="H10" s="10"/>
      <c r="I10" s="10"/>
      <c r="J10" s="9"/>
      <c r="K10" s="10"/>
      <c r="L10" s="10"/>
      <c r="M10" s="10"/>
      <c r="N10" s="11"/>
      <c r="R10" s="37">
        <v>2</v>
      </c>
      <c r="S10" s="35">
        <v>219</v>
      </c>
      <c r="T10" s="35">
        <v>187</v>
      </c>
      <c r="U10" s="35">
        <v>966</v>
      </c>
      <c r="V10" s="35">
        <v>1153</v>
      </c>
      <c r="W10" s="39">
        <v>23.5</v>
      </c>
      <c r="Z10" s="49">
        <v>1.4179999999999999</v>
      </c>
      <c r="AA10" s="49">
        <v>14</v>
      </c>
      <c r="AB10" s="49">
        <v>209.56</v>
      </c>
      <c r="AC10" s="49">
        <v>177.61</v>
      </c>
      <c r="AD10" s="49">
        <v>971.9</v>
      </c>
      <c r="AE10" s="49">
        <v>1149.5</v>
      </c>
      <c r="AF10" s="49">
        <v>1.6698999999999999E-2</v>
      </c>
      <c r="AG10" s="49">
        <v>28.04</v>
      </c>
    </row>
    <row r="11" spans="1:33" ht="15.75" thickBot="1">
      <c r="A11" s="9"/>
      <c r="B11" s="10"/>
      <c r="C11" s="10"/>
      <c r="D11" s="285" t="s">
        <v>4</v>
      </c>
      <c r="E11" s="285"/>
      <c r="F11" s="272">
        <f>+IF($K$5=1/8,$AA$45,IF($K$5=1/4, $AA$46,IF($K$5=3/8, $AA$47,IF($K$5=1/2, $AA$48,IF($K$5=3/4, $AA$49,IF($K$5=1, $AA$50,IF($K$5=1.25, $AA$51,IF($K$5=1.5, $AA$52,IF($K$5=2, $AA$53,IF($K$5=2.5, $AA$54,IF($K$5=3, $AA$55,IF($K$5=3.5, $AA$56,IF($K$5=4, $AA$57,IF($K$5=5, $AA$58,IF($K$5=6, $AA$59,IF($K$5=8, $AA$60,IF($K$5=10, $AA$61,IF($K$5=12, $AA$62,IF($K$5=14, $AA$63,IF($K$5=16, $AA$64,IF($K$5=18, $AA$65,IF($K$5=20, $AA$66,IF($K$5=24,$AA$67,0)))))))))))))))))))))))</f>
        <v>2.4689999999999999</v>
      </c>
      <c r="G11" s="10"/>
      <c r="H11" s="10"/>
      <c r="I11" s="10"/>
      <c r="J11" s="297" t="s">
        <v>117</v>
      </c>
      <c r="K11" s="298"/>
      <c r="L11" s="298"/>
      <c r="M11" s="298"/>
      <c r="N11" s="298"/>
      <c r="R11" s="37">
        <v>3</v>
      </c>
      <c r="S11" s="35">
        <v>222</v>
      </c>
      <c r="T11" s="35">
        <v>190</v>
      </c>
      <c r="U11" s="35">
        <v>964</v>
      </c>
      <c r="V11" s="35">
        <v>1154</v>
      </c>
      <c r="W11" s="39">
        <v>22.3</v>
      </c>
      <c r="Z11" s="49">
        <v>0</v>
      </c>
      <c r="AA11" s="49">
        <v>14.696</v>
      </c>
      <c r="AB11" s="49">
        <v>212</v>
      </c>
      <c r="AC11" s="49">
        <v>180.07</v>
      </c>
      <c r="AD11" s="49">
        <v>970.3</v>
      </c>
      <c r="AE11" s="49">
        <v>1150.4000000000001</v>
      </c>
      <c r="AF11" s="49">
        <v>1.6715000000000001E-2</v>
      </c>
      <c r="AG11" s="49">
        <v>26.8</v>
      </c>
    </row>
    <row r="12" spans="1:33" ht="15.75" thickBot="1">
      <c r="A12" s="9"/>
      <c r="B12" s="10"/>
      <c r="C12" s="10"/>
      <c r="D12" s="285" t="s">
        <v>5</v>
      </c>
      <c r="E12" s="285"/>
      <c r="F12" s="272">
        <f>$K$3</f>
        <v>1244</v>
      </c>
      <c r="G12" s="10"/>
      <c r="H12" s="267" t="s">
        <v>9</v>
      </c>
      <c r="I12" s="10"/>
      <c r="J12" s="299"/>
      <c r="K12" s="300"/>
      <c r="L12" s="300"/>
      <c r="M12" s="300"/>
      <c r="N12" s="300"/>
      <c r="R12" s="37">
        <v>4</v>
      </c>
      <c r="S12" s="35">
        <v>224</v>
      </c>
      <c r="T12" s="35">
        <v>192</v>
      </c>
      <c r="U12" s="35">
        <v>962</v>
      </c>
      <c r="V12" s="35">
        <v>1154</v>
      </c>
      <c r="W12" s="39">
        <v>21.4</v>
      </c>
      <c r="Z12" s="49">
        <v>1.3</v>
      </c>
      <c r="AA12" s="49">
        <v>16</v>
      </c>
      <c r="AB12" s="49">
        <v>216.32</v>
      </c>
      <c r="AC12" s="49">
        <v>184.42</v>
      </c>
      <c r="AD12" s="49">
        <v>967.6</v>
      </c>
      <c r="AE12" s="49">
        <v>1152</v>
      </c>
      <c r="AF12" s="49">
        <v>1.6746E-2</v>
      </c>
      <c r="AG12" s="49">
        <v>24.75</v>
      </c>
    </row>
    <row r="13" spans="1:33" ht="43.5" customHeight="1" thickBot="1">
      <c r="A13" s="9"/>
      <c r="B13" s="10"/>
      <c r="C13" s="10"/>
      <c r="D13" s="292" t="s">
        <v>6</v>
      </c>
      <c r="E13" s="292"/>
      <c r="F13" s="269">
        <f>(F12*F14)/(3600*PI()*POWER(F11/24,2))</f>
        <v>98.319451452751323</v>
      </c>
      <c r="G13" s="10"/>
      <c r="H13" s="279">
        <f>F13/3.280839895</f>
        <v>29.967768802918474</v>
      </c>
      <c r="I13" s="10"/>
      <c r="J13" s="261" t="s">
        <v>16</v>
      </c>
      <c r="K13" s="273">
        <f>(30*3.280839895*60*$F$7)/(2.4*$K$4)</f>
        <v>1245.337957771668</v>
      </c>
      <c r="L13" s="262" t="s">
        <v>37</v>
      </c>
      <c r="M13" s="288" t="s">
        <v>114</v>
      </c>
      <c r="N13" s="289"/>
      <c r="R13" s="36">
        <v>5</v>
      </c>
      <c r="S13" s="34">
        <v>227</v>
      </c>
      <c r="T13" s="34">
        <v>195</v>
      </c>
      <c r="U13" s="34">
        <v>960</v>
      </c>
      <c r="V13" s="34">
        <v>1155</v>
      </c>
      <c r="W13" s="38">
        <v>20.100000000000001</v>
      </c>
      <c r="Z13" s="49">
        <v>2.2999999999999998</v>
      </c>
      <c r="AA13" s="49">
        <v>17</v>
      </c>
      <c r="AB13" s="49">
        <v>219.44</v>
      </c>
      <c r="AC13" s="49">
        <v>187.56</v>
      </c>
      <c r="AD13" s="49">
        <v>965.5</v>
      </c>
      <c r="AE13" s="49">
        <v>1153.0999999999999</v>
      </c>
      <c r="AF13" s="49">
        <v>1.6768000000000002E-2</v>
      </c>
      <c r="AG13" s="49">
        <v>23.39</v>
      </c>
    </row>
    <row r="14" spans="1:33">
      <c r="A14" s="9"/>
      <c r="B14" s="10"/>
      <c r="C14" s="10"/>
      <c r="D14" s="285" t="s">
        <v>116</v>
      </c>
      <c r="E14" s="285"/>
      <c r="F14" s="287">
        <f>$K$4</f>
        <v>9.4600000000000009</v>
      </c>
      <c r="G14" s="10"/>
      <c r="H14" s="10"/>
      <c r="I14" s="10"/>
      <c r="J14" s="9"/>
      <c r="K14" s="10"/>
      <c r="L14" s="10"/>
      <c r="M14" s="10"/>
      <c r="N14" s="11"/>
      <c r="R14" s="37">
        <v>6</v>
      </c>
      <c r="S14" s="35">
        <v>230</v>
      </c>
      <c r="T14" s="35">
        <v>198</v>
      </c>
      <c r="U14" s="35">
        <v>959</v>
      </c>
      <c r="V14" s="35">
        <v>1157</v>
      </c>
      <c r="W14" s="39">
        <v>19.399999999999999</v>
      </c>
      <c r="Z14" s="49">
        <v>5.3</v>
      </c>
      <c r="AA14" s="49">
        <v>20</v>
      </c>
      <c r="AB14" s="49">
        <v>227.96</v>
      </c>
      <c r="AC14" s="49">
        <v>196.16</v>
      </c>
      <c r="AD14" s="49">
        <v>960.1</v>
      </c>
      <c r="AE14" s="49">
        <v>1156.3</v>
      </c>
      <c r="AF14" s="49">
        <v>1.6830000000000001E-2</v>
      </c>
      <c r="AG14" s="49">
        <v>20.09</v>
      </c>
    </row>
    <row r="15" spans="1:33" ht="15.75" thickBot="1">
      <c r="A15" s="13"/>
      <c r="B15" s="14"/>
      <c r="C15" s="14"/>
      <c r="D15" s="291"/>
      <c r="E15" s="291"/>
      <c r="F15" s="290"/>
      <c r="G15" s="14"/>
      <c r="H15" s="14"/>
      <c r="I15" s="14"/>
      <c r="J15" s="13"/>
      <c r="K15" s="14"/>
      <c r="L15" s="14"/>
      <c r="M15" s="14"/>
      <c r="N15" s="15"/>
      <c r="R15" s="37">
        <v>7</v>
      </c>
      <c r="S15" s="35">
        <v>232</v>
      </c>
      <c r="T15" s="35">
        <v>200</v>
      </c>
      <c r="U15" s="35">
        <v>957</v>
      </c>
      <c r="V15" s="35">
        <v>1157</v>
      </c>
      <c r="W15" s="39">
        <v>18.7</v>
      </c>
      <c r="Z15" s="49">
        <v>10.3</v>
      </c>
      <c r="AA15" s="49">
        <v>25</v>
      </c>
      <c r="AB15" s="49">
        <v>240.07</v>
      </c>
      <c r="AC15" s="49">
        <v>208.42</v>
      </c>
      <c r="AD15" s="49">
        <v>952.1</v>
      </c>
      <c r="AE15" s="49">
        <v>1160.5999999999999</v>
      </c>
      <c r="AF15" s="49">
        <v>1.6922E-2</v>
      </c>
      <c r="AG15" s="49">
        <v>16.3</v>
      </c>
    </row>
    <row r="16" spans="1:33">
      <c r="A16" s="10"/>
      <c r="B16" s="10"/>
      <c r="C16" s="10"/>
      <c r="D16" s="10"/>
      <c r="E16" s="10"/>
      <c r="F16" s="10"/>
      <c r="G16" s="10"/>
      <c r="H16" s="10"/>
      <c r="R16" s="37">
        <v>8</v>
      </c>
      <c r="S16" s="35">
        <v>233</v>
      </c>
      <c r="T16" s="35">
        <v>201</v>
      </c>
      <c r="U16" s="35">
        <v>956</v>
      </c>
      <c r="V16" s="35">
        <v>1157</v>
      </c>
      <c r="W16" s="39">
        <v>18.399999999999999</v>
      </c>
      <c r="Z16" s="49">
        <v>15.3</v>
      </c>
      <c r="AA16" s="49">
        <v>30</v>
      </c>
      <c r="AB16" s="49">
        <v>250.33</v>
      </c>
      <c r="AC16" s="49">
        <v>218.82</v>
      </c>
      <c r="AD16" s="49">
        <v>945.3</v>
      </c>
      <c r="AE16" s="49">
        <v>1164.0999999999999</v>
      </c>
      <c r="AF16" s="49">
        <v>1.7003999999999998E-2</v>
      </c>
      <c r="AG16" s="49">
        <v>13.75</v>
      </c>
    </row>
    <row r="17" spans="1:3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R17" s="37">
        <v>9</v>
      </c>
      <c r="S17" s="35">
        <v>237</v>
      </c>
      <c r="T17" s="35">
        <v>205</v>
      </c>
      <c r="U17" s="35">
        <v>954</v>
      </c>
      <c r="V17" s="35">
        <v>1159</v>
      </c>
      <c r="W17" s="39">
        <v>17.100000000000001</v>
      </c>
      <c r="Z17" s="49">
        <v>20.3</v>
      </c>
      <c r="AA17" s="49">
        <v>35</v>
      </c>
      <c r="AB17" s="49">
        <v>259.27999999999997</v>
      </c>
      <c r="AC17" s="49">
        <v>227.91</v>
      </c>
      <c r="AD17" s="49">
        <v>939.2</v>
      </c>
      <c r="AE17" s="49">
        <v>1167.0999999999999</v>
      </c>
      <c r="AF17" s="49">
        <v>1.7077999999999999E-2</v>
      </c>
      <c r="AG17" s="49">
        <v>11.9</v>
      </c>
    </row>
    <row r="18" spans="1:33">
      <c r="A18" s="10"/>
      <c r="B18" s="10"/>
      <c r="C18" s="10"/>
      <c r="D18" s="10"/>
      <c r="E18" s="10"/>
      <c r="F18" s="18"/>
      <c r="G18" s="18"/>
      <c r="H18" s="18"/>
      <c r="I18" s="10"/>
      <c r="J18" s="10"/>
      <c r="K18" s="16"/>
      <c r="L18" s="10"/>
      <c r="M18" s="10"/>
      <c r="N18" s="10"/>
      <c r="O18" s="10"/>
      <c r="R18" s="36">
        <v>10</v>
      </c>
      <c r="S18" s="34">
        <v>239</v>
      </c>
      <c r="T18" s="34">
        <v>207</v>
      </c>
      <c r="U18" s="34">
        <v>953</v>
      </c>
      <c r="V18" s="34">
        <v>1160</v>
      </c>
      <c r="W18" s="38">
        <v>16.5</v>
      </c>
      <c r="Z18" s="49">
        <v>25.3</v>
      </c>
      <c r="AA18" s="49">
        <v>40</v>
      </c>
      <c r="AB18" s="49">
        <v>267.25</v>
      </c>
      <c r="AC18" s="49">
        <v>236.03</v>
      </c>
      <c r="AD18" s="49">
        <v>933.7</v>
      </c>
      <c r="AE18" s="49">
        <v>1169.7</v>
      </c>
      <c r="AF18" s="49">
        <v>1.7146000000000002E-2</v>
      </c>
      <c r="AG18" s="49">
        <v>10.5</v>
      </c>
    </row>
    <row r="19" spans="1:33">
      <c r="A19" s="10"/>
      <c r="B19" s="10"/>
      <c r="C19" s="10"/>
      <c r="D19" s="10"/>
      <c r="E19" s="10"/>
      <c r="F19" s="18"/>
      <c r="G19" s="18"/>
      <c r="H19" s="18"/>
      <c r="I19" s="10"/>
      <c r="J19" s="10"/>
      <c r="K19" s="10"/>
      <c r="L19" s="10"/>
      <c r="M19" s="10"/>
      <c r="N19" s="10"/>
      <c r="O19" s="10"/>
      <c r="R19" s="37">
        <v>12</v>
      </c>
      <c r="S19" s="35">
        <v>244</v>
      </c>
      <c r="T19" s="35">
        <v>212</v>
      </c>
      <c r="U19" s="35">
        <v>949</v>
      </c>
      <c r="V19" s="35">
        <v>1161</v>
      </c>
      <c r="W19" s="39">
        <v>15.3</v>
      </c>
      <c r="Z19" s="49">
        <v>30.3</v>
      </c>
      <c r="AA19" s="49">
        <v>45</v>
      </c>
      <c r="AB19" s="49">
        <v>274.44</v>
      </c>
      <c r="AC19" s="49">
        <v>243.36</v>
      </c>
      <c r="AD19" s="49">
        <v>928.6</v>
      </c>
      <c r="AE19" s="254" t="s">
        <v>67</v>
      </c>
      <c r="AF19" s="49">
        <v>1.7208999999999999E-2</v>
      </c>
      <c r="AG19" s="49">
        <v>9.4</v>
      </c>
    </row>
    <row r="20" spans="1:33">
      <c r="A20" s="10"/>
      <c r="B20" s="10"/>
      <c r="C20" s="10"/>
      <c r="D20" s="10"/>
      <c r="E20" s="10"/>
      <c r="F20" s="18"/>
      <c r="G20" s="18"/>
      <c r="H20" s="18"/>
      <c r="I20" s="10"/>
      <c r="J20" s="10"/>
      <c r="K20" s="16"/>
      <c r="L20" s="10"/>
      <c r="M20" s="10"/>
      <c r="N20" s="10"/>
      <c r="O20" s="10"/>
      <c r="R20" s="37">
        <v>14</v>
      </c>
      <c r="S20" s="35">
        <v>248</v>
      </c>
      <c r="T20" s="35">
        <v>216</v>
      </c>
      <c r="U20" s="35">
        <v>947</v>
      </c>
      <c r="V20" s="35">
        <v>1163</v>
      </c>
      <c r="W20" s="39">
        <v>14.3</v>
      </c>
      <c r="Z20" s="49">
        <v>40.299999999999997</v>
      </c>
      <c r="AA20" s="49">
        <v>55</v>
      </c>
      <c r="AB20" s="49">
        <v>287.07</v>
      </c>
      <c r="AC20" s="49">
        <v>256.3</v>
      </c>
      <c r="AD20" s="49">
        <v>919.6</v>
      </c>
      <c r="AE20" s="49">
        <v>1175.9000000000001</v>
      </c>
      <c r="AF20" s="49">
        <v>1.7325E-2</v>
      </c>
      <c r="AG20" s="49">
        <v>7.79</v>
      </c>
    </row>
    <row r="21" spans="1:33">
      <c r="A21" s="10"/>
      <c r="B21" s="10"/>
      <c r="C21" s="10"/>
      <c r="D21" s="10"/>
      <c r="E21" s="10"/>
      <c r="F21" s="18"/>
      <c r="G21" s="18"/>
      <c r="H21" s="18"/>
      <c r="I21" s="10"/>
      <c r="J21" s="25"/>
      <c r="K21" s="268"/>
      <c r="L21" s="18"/>
      <c r="M21" s="10"/>
      <c r="N21" s="10"/>
      <c r="O21" s="10"/>
      <c r="R21" s="37">
        <v>16</v>
      </c>
      <c r="S21" s="35">
        <v>252</v>
      </c>
      <c r="T21" s="35">
        <v>220</v>
      </c>
      <c r="U21" s="35">
        <v>944</v>
      </c>
      <c r="V21" s="35">
        <v>1164</v>
      </c>
      <c r="W21" s="39">
        <v>13.4</v>
      </c>
      <c r="Z21" s="49">
        <v>50.3</v>
      </c>
      <c r="AA21" s="49">
        <v>65</v>
      </c>
      <c r="AB21" s="49">
        <v>297.97000000000003</v>
      </c>
      <c r="AC21" s="49">
        <v>267.5</v>
      </c>
      <c r="AD21" s="49">
        <v>911.6</v>
      </c>
      <c r="AE21" s="49">
        <v>1179.0999999999999</v>
      </c>
      <c r="AF21" s="49">
        <v>1.7429E-2</v>
      </c>
      <c r="AG21" s="49">
        <v>6.66</v>
      </c>
    </row>
    <row r="22" spans="1:33">
      <c r="A22" s="10"/>
      <c r="B22" s="10"/>
      <c r="C22" s="10"/>
      <c r="D22" s="10"/>
      <c r="E22" s="10"/>
      <c r="F22" s="18"/>
      <c r="G22" s="18"/>
      <c r="H22" s="18"/>
      <c r="I22" s="10"/>
      <c r="J22" s="10"/>
      <c r="K22" s="10"/>
      <c r="L22" s="10"/>
      <c r="M22" s="10"/>
      <c r="N22" s="10"/>
      <c r="O22" s="10"/>
      <c r="R22" s="37">
        <v>18</v>
      </c>
      <c r="S22" s="35">
        <v>256</v>
      </c>
      <c r="T22" s="35">
        <v>224</v>
      </c>
      <c r="U22" s="35">
        <v>941</v>
      </c>
      <c r="V22" s="35">
        <v>1165</v>
      </c>
      <c r="W22" s="39">
        <v>12.6</v>
      </c>
      <c r="Z22" s="49">
        <v>60.3</v>
      </c>
      <c r="AA22" s="49">
        <v>75</v>
      </c>
      <c r="AB22" s="49">
        <v>307.60000000000002</v>
      </c>
      <c r="AC22" s="49">
        <v>277.43</v>
      </c>
      <c r="AD22" s="49">
        <v>904.5</v>
      </c>
      <c r="AE22" s="49">
        <v>1181.9000000000001</v>
      </c>
      <c r="AF22" s="49">
        <v>1.7524000000000001E-2</v>
      </c>
      <c r="AG22" s="49">
        <v>5.82</v>
      </c>
    </row>
    <row r="23" spans="1:33">
      <c r="A23" s="10"/>
      <c r="B23" s="10"/>
      <c r="C23" s="10"/>
      <c r="D23" s="10"/>
      <c r="E23" s="10"/>
      <c r="F23" s="18"/>
      <c r="G23" s="18"/>
      <c r="H23" s="18"/>
      <c r="I23" s="10"/>
      <c r="J23" s="10"/>
      <c r="K23" s="10"/>
      <c r="L23" s="10"/>
      <c r="M23" s="10"/>
      <c r="N23" s="10"/>
      <c r="O23" s="10"/>
      <c r="R23" s="36">
        <v>20</v>
      </c>
      <c r="S23" s="34">
        <v>259</v>
      </c>
      <c r="T23" s="34">
        <v>227</v>
      </c>
      <c r="U23" s="34">
        <v>939</v>
      </c>
      <c r="V23" s="34">
        <v>1166</v>
      </c>
      <c r="W23" s="38">
        <v>11.9</v>
      </c>
      <c r="Z23" s="49">
        <v>70.3</v>
      </c>
      <c r="AA23" s="49">
        <v>85</v>
      </c>
      <c r="AB23" s="49">
        <v>316.25</v>
      </c>
      <c r="AC23" s="49">
        <v>286.39</v>
      </c>
      <c r="AD23" s="49">
        <v>897.8</v>
      </c>
      <c r="AE23" s="49">
        <v>1184.2</v>
      </c>
      <c r="AF23" s="49">
        <v>1.7613E-2</v>
      </c>
      <c r="AG23" s="49">
        <v>5.17</v>
      </c>
    </row>
    <row r="24" spans="1:33">
      <c r="A24" s="10"/>
      <c r="B24" s="10"/>
      <c r="C24" s="10"/>
      <c r="D24" s="10"/>
      <c r="E24" s="10"/>
      <c r="F24" s="18"/>
      <c r="G24" s="18"/>
      <c r="H24" s="18"/>
      <c r="I24" s="10"/>
      <c r="J24" s="10"/>
      <c r="K24" s="10"/>
      <c r="L24" s="10"/>
      <c r="M24" s="10"/>
      <c r="N24" s="10"/>
      <c r="O24" s="10"/>
      <c r="R24" s="37">
        <v>22</v>
      </c>
      <c r="S24" s="35">
        <v>262</v>
      </c>
      <c r="T24" s="35">
        <v>230</v>
      </c>
      <c r="U24" s="35">
        <v>937</v>
      </c>
      <c r="V24" s="35">
        <v>1167</v>
      </c>
      <c r="W24" s="39">
        <v>11.3</v>
      </c>
      <c r="Z24" s="49">
        <v>80.3</v>
      </c>
      <c r="AA24" s="49">
        <v>95</v>
      </c>
      <c r="AB24" s="49">
        <v>324.12</v>
      </c>
      <c r="AC24" s="49">
        <v>294.56</v>
      </c>
      <c r="AD24" s="49">
        <v>891.7</v>
      </c>
      <c r="AE24" s="49">
        <v>1186.2</v>
      </c>
      <c r="AF24" s="49">
        <v>1.7696E-2</v>
      </c>
      <c r="AG24" s="49">
        <v>4.6500000000000004</v>
      </c>
    </row>
    <row r="25" spans="1:33">
      <c r="A25" s="10"/>
      <c r="B25" s="10"/>
      <c r="C25" s="10"/>
      <c r="D25" s="10"/>
      <c r="E25" s="10"/>
      <c r="F25" s="18"/>
      <c r="G25" s="18"/>
      <c r="H25" s="18"/>
      <c r="I25" s="10"/>
      <c r="J25" s="10"/>
      <c r="K25" s="10"/>
      <c r="L25" s="10"/>
      <c r="M25" s="10"/>
      <c r="N25" s="10"/>
      <c r="O25" s="10"/>
      <c r="R25" s="37">
        <v>24</v>
      </c>
      <c r="S25" s="35">
        <v>265</v>
      </c>
      <c r="T25" s="35">
        <v>233</v>
      </c>
      <c r="U25" s="35">
        <v>934</v>
      </c>
      <c r="V25" s="35">
        <v>1167</v>
      </c>
      <c r="W25" s="39">
        <v>10.8</v>
      </c>
      <c r="Z25" s="49">
        <v>90.3</v>
      </c>
      <c r="AA25" s="49">
        <v>105</v>
      </c>
      <c r="AB25" s="49">
        <v>331.36</v>
      </c>
      <c r="AC25" s="49">
        <v>302.10000000000002</v>
      </c>
      <c r="AD25" s="49">
        <v>886</v>
      </c>
      <c r="AE25" s="49">
        <v>1188.0999999999999</v>
      </c>
      <c r="AF25" s="49">
        <v>1.7774999999999999E-2</v>
      </c>
      <c r="AG25" s="49">
        <v>4.2300000000000004</v>
      </c>
    </row>
    <row r="26" spans="1:33">
      <c r="A26" s="10"/>
      <c r="B26" s="10"/>
      <c r="C26" s="10"/>
      <c r="D26" s="10"/>
      <c r="E26" s="10"/>
      <c r="F26" s="18"/>
      <c r="G26" s="18"/>
      <c r="H26" s="18"/>
      <c r="I26" s="10"/>
      <c r="J26" s="10"/>
      <c r="K26" s="10"/>
      <c r="L26" s="10"/>
      <c r="M26" s="10"/>
      <c r="N26" s="10"/>
      <c r="O26" s="10"/>
      <c r="R26" s="37">
        <v>26</v>
      </c>
      <c r="S26" s="35">
        <v>268</v>
      </c>
      <c r="T26" s="35">
        <v>236</v>
      </c>
      <c r="U26" s="35">
        <v>933</v>
      </c>
      <c r="V26" s="35">
        <v>1169</v>
      </c>
      <c r="W26" s="39">
        <v>10.3</v>
      </c>
      <c r="Z26" s="49">
        <v>100</v>
      </c>
      <c r="AA26" s="49">
        <v>114.7</v>
      </c>
      <c r="AB26" s="49">
        <v>337.9</v>
      </c>
      <c r="AC26" s="49">
        <v>308.8</v>
      </c>
      <c r="AD26" s="49">
        <v>880</v>
      </c>
      <c r="AE26" s="49">
        <v>1188.8</v>
      </c>
      <c r="AF26" s="49">
        <v>1.7850000000000001E-2</v>
      </c>
      <c r="AG26" s="49">
        <v>3.88</v>
      </c>
    </row>
    <row r="27" spans="1:33">
      <c r="A27" s="10"/>
      <c r="B27" s="10"/>
      <c r="C27" s="10"/>
      <c r="D27" s="10"/>
      <c r="E27" s="10"/>
      <c r="F27" s="18"/>
      <c r="G27" s="18"/>
      <c r="H27" s="18"/>
      <c r="I27" s="10"/>
      <c r="J27" s="10"/>
      <c r="K27" s="10"/>
      <c r="L27" s="10"/>
      <c r="M27" s="10"/>
      <c r="N27" s="10"/>
      <c r="O27" s="10"/>
      <c r="R27" s="37">
        <v>28</v>
      </c>
      <c r="S27" s="35">
        <v>271</v>
      </c>
      <c r="T27" s="35">
        <v>239</v>
      </c>
      <c r="U27" s="35">
        <v>930</v>
      </c>
      <c r="V27" s="35">
        <v>1169</v>
      </c>
      <c r="W27" s="39">
        <v>9.85</v>
      </c>
      <c r="Z27" s="49">
        <v>110.3</v>
      </c>
      <c r="AA27" s="49">
        <v>125</v>
      </c>
      <c r="AB27" s="49">
        <v>344.33</v>
      </c>
      <c r="AC27" s="49">
        <v>315.68</v>
      </c>
      <c r="AD27" s="49">
        <v>875.4</v>
      </c>
      <c r="AE27" s="49">
        <v>1191.0999999999999</v>
      </c>
      <c r="AF27" s="49">
        <v>1.7922E-2</v>
      </c>
      <c r="AG27" s="49">
        <v>3.59</v>
      </c>
    </row>
    <row r="28" spans="1:33">
      <c r="A28" s="10"/>
      <c r="B28" s="10"/>
      <c r="C28" s="10"/>
      <c r="D28" s="10"/>
      <c r="E28" s="10"/>
      <c r="F28" s="18"/>
      <c r="G28" s="18"/>
      <c r="H28" s="18"/>
      <c r="I28" s="10"/>
      <c r="J28" s="10"/>
      <c r="K28" s="10"/>
      <c r="L28" s="10"/>
      <c r="M28" s="10"/>
      <c r="N28" s="10"/>
      <c r="O28" s="10"/>
      <c r="R28" s="36">
        <v>30</v>
      </c>
      <c r="S28" s="34">
        <v>274</v>
      </c>
      <c r="T28" s="34">
        <v>243</v>
      </c>
      <c r="U28" s="34">
        <v>929</v>
      </c>
      <c r="V28" s="34">
        <v>1172</v>
      </c>
      <c r="W28" s="38">
        <v>9.4600000000000009</v>
      </c>
      <c r="Z28" s="49">
        <v>120.3</v>
      </c>
      <c r="AA28" s="49">
        <v>135</v>
      </c>
      <c r="AB28" s="49">
        <v>350.21</v>
      </c>
      <c r="AC28" s="49">
        <v>321.85000000000002</v>
      </c>
      <c r="AD28" s="49">
        <v>870.6</v>
      </c>
      <c r="AE28" s="49">
        <v>1192.4000000000001</v>
      </c>
      <c r="AF28" s="49">
        <v>1.7991E-2</v>
      </c>
      <c r="AG28" s="49">
        <v>3.33</v>
      </c>
    </row>
    <row r="29" spans="1:3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R29" s="37">
        <v>32</v>
      </c>
      <c r="S29" s="35">
        <v>277</v>
      </c>
      <c r="T29" s="35">
        <v>246</v>
      </c>
      <c r="U29" s="35">
        <v>927</v>
      </c>
      <c r="V29" s="35">
        <v>1173</v>
      </c>
      <c r="W29" s="39">
        <v>9.1</v>
      </c>
      <c r="Z29" s="49">
        <v>125.3</v>
      </c>
      <c r="AA29" s="49">
        <v>140</v>
      </c>
      <c r="AB29" s="49">
        <v>353.02</v>
      </c>
      <c r="AC29" s="49">
        <v>324.82</v>
      </c>
      <c r="AD29" s="49">
        <v>868.2</v>
      </c>
      <c r="AE29" s="49">
        <v>1193</v>
      </c>
      <c r="AF29" s="49">
        <v>1.8023999999999998E-2</v>
      </c>
      <c r="AG29" s="49">
        <v>3.22</v>
      </c>
    </row>
    <row r="30" spans="1:3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R30" s="37">
        <v>34</v>
      </c>
      <c r="S30" s="35">
        <v>279</v>
      </c>
      <c r="T30" s="35">
        <v>248</v>
      </c>
      <c r="U30" s="35">
        <v>925</v>
      </c>
      <c r="V30" s="35">
        <v>1173</v>
      </c>
      <c r="W30" s="39">
        <v>8.75</v>
      </c>
      <c r="Z30" s="49">
        <v>130.30000000000001</v>
      </c>
      <c r="AA30" s="49">
        <v>145</v>
      </c>
      <c r="AB30" s="49">
        <v>355.76</v>
      </c>
      <c r="AC30" s="49">
        <v>327.7</v>
      </c>
      <c r="AD30" s="49">
        <v>865.8</v>
      </c>
      <c r="AE30" s="49">
        <v>1193.5</v>
      </c>
      <c r="AF30" s="49">
        <v>1.8057E-2</v>
      </c>
      <c r="AG30" s="49">
        <v>3.11</v>
      </c>
    </row>
    <row r="31" spans="1:33">
      <c r="R31" s="37">
        <v>36</v>
      </c>
      <c r="S31" s="35">
        <v>282</v>
      </c>
      <c r="T31" s="35">
        <v>251</v>
      </c>
      <c r="U31" s="35">
        <v>923</v>
      </c>
      <c r="V31" s="35">
        <v>1174</v>
      </c>
      <c r="W31" s="39">
        <v>8.42</v>
      </c>
      <c r="Z31" s="49">
        <v>140.30000000000001</v>
      </c>
      <c r="AA31" s="49">
        <v>155</v>
      </c>
      <c r="AB31" s="49">
        <v>360.5</v>
      </c>
      <c r="AC31" s="49">
        <v>333.24</v>
      </c>
      <c r="AD31" s="49">
        <v>861.3</v>
      </c>
      <c r="AE31" s="49">
        <v>1194.5999999999999</v>
      </c>
      <c r="AF31" s="49">
        <v>1.8121000000000002E-2</v>
      </c>
      <c r="AG31" s="49">
        <v>2.92</v>
      </c>
    </row>
    <row r="32" spans="1:33">
      <c r="R32" s="37">
        <v>38</v>
      </c>
      <c r="S32" s="35">
        <v>284</v>
      </c>
      <c r="T32" s="35">
        <v>253</v>
      </c>
      <c r="U32" s="35">
        <v>922</v>
      </c>
      <c r="V32" s="35">
        <v>1175</v>
      </c>
      <c r="W32" s="39">
        <v>8.08</v>
      </c>
      <c r="Z32" s="49">
        <v>150.30000000000001</v>
      </c>
      <c r="AA32" s="49">
        <v>165</v>
      </c>
      <c r="AB32" s="49">
        <v>365.99</v>
      </c>
      <c r="AC32" s="49">
        <v>338.53</v>
      </c>
      <c r="AD32" s="49">
        <v>857.1</v>
      </c>
      <c r="AE32" s="49">
        <v>1195.5999999999999</v>
      </c>
      <c r="AF32" s="49">
        <v>1.8183000000000001E-2</v>
      </c>
      <c r="AG32" s="49">
        <v>2.75</v>
      </c>
    </row>
    <row r="33" spans="18:33">
      <c r="R33" s="36">
        <v>40</v>
      </c>
      <c r="S33" s="34">
        <v>286</v>
      </c>
      <c r="T33" s="34">
        <v>256</v>
      </c>
      <c r="U33" s="34">
        <v>920</v>
      </c>
      <c r="V33" s="34">
        <v>1176</v>
      </c>
      <c r="W33" s="38">
        <v>7.82</v>
      </c>
      <c r="Z33" s="49">
        <v>160.30000000000001</v>
      </c>
      <c r="AA33" s="49">
        <v>175</v>
      </c>
      <c r="AB33" s="49">
        <v>370.75</v>
      </c>
      <c r="AC33" s="49">
        <v>343.57</v>
      </c>
      <c r="AD33" s="49">
        <v>852.8</v>
      </c>
      <c r="AE33" s="49">
        <v>1196.5</v>
      </c>
      <c r="AF33" s="49">
        <v>1.8244E-2</v>
      </c>
      <c r="AG33" s="49">
        <v>2.6</v>
      </c>
    </row>
    <row r="34" spans="18:33">
      <c r="R34" s="37">
        <v>42</v>
      </c>
      <c r="S34" s="35">
        <v>289</v>
      </c>
      <c r="T34" s="35">
        <v>258</v>
      </c>
      <c r="U34" s="35">
        <v>918</v>
      </c>
      <c r="V34" s="35">
        <v>1176</v>
      </c>
      <c r="W34" s="39">
        <v>7.57</v>
      </c>
      <c r="Z34" s="49">
        <v>180.3</v>
      </c>
      <c r="AA34" s="49">
        <v>195</v>
      </c>
      <c r="AB34" s="49">
        <v>379.67</v>
      </c>
      <c r="AC34" s="49">
        <v>353.1</v>
      </c>
      <c r="AD34" s="49">
        <v>844.9</v>
      </c>
      <c r="AE34" s="49">
        <v>1198</v>
      </c>
      <c r="AF34" s="49">
        <v>1.8360000000000001E-2</v>
      </c>
      <c r="AG34" s="49">
        <v>2.34</v>
      </c>
    </row>
    <row r="35" spans="18:33">
      <c r="R35" s="37">
        <v>44</v>
      </c>
      <c r="S35" s="35">
        <v>291</v>
      </c>
      <c r="T35" s="35">
        <v>260</v>
      </c>
      <c r="U35" s="35">
        <v>917</v>
      </c>
      <c r="V35" s="35">
        <v>1177</v>
      </c>
      <c r="W35" s="39">
        <v>7.31</v>
      </c>
      <c r="Z35" s="49">
        <v>200.3</v>
      </c>
      <c r="AA35" s="49">
        <v>215</v>
      </c>
      <c r="AB35" s="49">
        <v>387.89</v>
      </c>
      <c r="AC35" s="49">
        <v>361.91</v>
      </c>
      <c r="AD35" s="49">
        <v>837.4</v>
      </c>
      <c r="AE35" s="49">
        <v>1199.3</v>
      </c>
      <c r="AF35" s="49">
        <v>1.847E-2</v>
      </c>
      <c r="AG35" s="49">
        <v>2.13</v>
      </c>
    </row>
    <row r="36" spans="18:33">
      <c r="R36" s="37">
        <v>46</v>
      </c>
      <c r="S36" s="35">
        <v>293</v>
      </c>
      <c r="T36" s="35">
        <v>262</v>
      </c>
      <c r="U36" s="35">
        <v>915</v>
      </c>
      <c r="V36" s="35">
        <v>1177</v>
      </c>
      <c r="W36" s="39">
        <v>7.14</v>
      </c>
      <c r="Z36" s="49">
        <v>225.3</v>
      </c>
      <c r="AA36" s="49">
        <v>240</v>
      </c>
      <c r="AB36" s="49">
        <v>397.37</v>
      </c>
      <c r="AC36" s="49">
        <v>372.12</v>
      </c>
      <c r="AD36" s="49">
        <v>828.5</v>
      </c>
      <c r="AE36" s="49">
        <v>1200.5999999999999</v>
      </c>
      <c r="AF36" s="49">
        <v>1.8602E-2</v>
      </c>
      <c r="AG36" s="49">
        <v>1.92</v>
      </c>
    </row>
    <row r="37" spans="18:33">
      <c r="R37" s="37">
        <v>48</v>
      </c>
      <c r="S37" s="35">
        <v>295</v>
      </c>
      <c r="T37" s="35">
        <v>264</v>
      </c>
      <c r="U37" s="35">
        <v>914</v>
      </c>
      <c r="V37" s="35">
        <v>1178</v>
      </c>
      <c r="W37" s="39">
        <v>6.94</v>
      </c>
      <c r="Z37" s="49">
        <v>250.3</v>
      </c>
      <c r="AA37" s="49">
        <v>265</v>
      </c>
      <c r="AB37" s="49">
        <v>406.11</v>
      </c>
      <c r="AC37" s="49">
        <v>381.6</v>
      </c>
      <c r="AD37" s="49">
        <v>820.1</v>
      </c>
      <c r="AE37" s="49">
        <v>1201.7</v>
      </c>
      <c r="AF37" s="49">
        <v>1.8728000000000002E-2</v>
      </c>
      <c r="AG37" s="49">
        <v>1.74</v>
      </c>
    </row>
    <row r="38" spans="18:33">
      <c r="R38" s="36">
        <v>50</v>
      </c>
      <c r="S38" s="34">
        <v>298</v>
      </c>
      <c r="T38" s="34">
        <v>267</v>
      </c>
      <c r="U38" s="34">
        <v>912</v>
      </c>
      <c r="V38" s="34">
        <v>1179</v>
      </c>
      <c r="W38" s="38">
        <v>6.68</v>
      </c>
      <c r="Z38" s="49"/>
      <c r="AA38" s="49">
        <v>300</v>
      </c>
      <c r="AB38" s="49">
        <v>417.33</v>
      </c>
      <c r="AC38" s="49">
        <v>393.84</v>
      </c>
      <c r="AD38" s="49">
        <v>809</v>
      </c>
      <c r="AE38" s="49">
        <v>1202.8</v>
      </c>
      <c r="AF38" s="49">
        <v>1.8896E-2</v>
      </c>
      <c r="AG38" s="49">
        <v>1.54</v>
      </c>
    </row>
    <row r="39" spans="18:33">
      <c r="R39" s="37">
        <v>55</v>
      </c>
      <c r="S39" s="35">
        <v>300</v>
      </c>
      <c r="T39" s="35">
        <v>271</v>
      </c>
      <c r="U39" s="35">
        <v>909</v>
      </c>
      <c r="V39" s="35">
        <v>1180</v>
      </c>
      <c r="W39" s="39">
        <v>6.27</v>
      </c>
      <c r="Z39" s="49"/>
      <c r="AA39" s="49">
        <v>400</v>
      </c>
      <c r="AB39" s="49">
        <v>444.59</v>
      </c>
      <c r="AC39" s="49">
        <v>424</v>
      </c>
      <c r="AD39" s="49">
        <v>780.5</v>
      </c>
      <c r="AE39" s="49">
        <v>1204.5</v>
      </c>
      <c r="AF39" s="49">
        <v>1.934E-2</v>
      </c>
      <c r="AG39" s="49">
        <v>1.1599999999999999</v>
      </c>
    </row>
    <row r="40" spans="18:33">
      <c r="R40" s="37">
        <v>60</v>
      </c>
      <c r="S40" s="35">
        <v>307</v>
      </c>
      <c r="T40" s="35">
        <v>277</v>
      </c>
      <c r="U40" s="35">
        <v>906</v>
      </c>
      <c r="V40" s="35">
        <v>1183</v>
      </c>
      <c r="W40" s="39">
        <v>5.84</v>
      </c>
      <c r="Z40" s="49"/>
      <c r="AA40" s="49">
        <v>450</v>
      </c>
      <c r="AB40" s="49">
        <v>456.28</v>
      </c>
      <c r="AC40" s="49">
        <v>437.2</v>
      </c>
      <c r="AD40" s="49">
        <v>767.4</v>
      </c>
      <c r="AE40" s="49">
        <v>1204.5999999999999</v>
      </c>
      <c r="AF40" s="49">
        <v>1.9546999999999998E-2</v>
      </c>
      <c r="AG40" s="49">
        <v>1.03</v>
      </c>
    </row>
    <row r="41" spans="18:33">
      <c r="R41" s="37">
        <v>65</v>
      </c>
      <c r="S41" s="35">
        <v>312</v>
      </c>
      <c r="T41" s="35">
        <v>282</v>
      </c>
      <c r="U41" s="35">
        <v>901</v>
      </c>
      <c r="V41" s="35">
        <v>1183</v>
      </c>
      <c r="W41" s="39">
        <v>5.49</v>
      </c>
    </row>
    <row r="42" spans="18:33">
      <c r="R42" s="37">
        <v>70</v>
      </c>
      <c r="S42" s="35">
        <v>316</v>
      </c>
      <c r="T42" s="35">
        <v>286</v>
      </c>
      <c r="U42" s="35">
        <v>898</v>
      </c>
      <c r="V42" s="35">
        <v>1184</v>
      </c>
      <c r="W42" s="39">
        <v>5.18</v>
      </c>
    </row>
    <row r="43" spans="18:33">
      <c r="R43" s="36">
        <v>75</v>
      </c>
      <c r="S43" s="34">
        <v>320</v>
      </c>
      <c r="T43" s="34">
        <v>290</v>
      </c>
      <c r="U43" s="34">
        <v>895</v>
      </c>
      <c r="V43" s="34">
        <v>1185</v>
      </c>
      <c r="W43" s="38">
        <v>4.91</v>
      </c>
      <c r="Z43" s="284" t="s">
        <v>104</v>
      </c>
      <c r="AA43" s="284"/>
      <c r="AB43" s="259"/>
    </row>
    <row r="44" spans="18:33" ht="45">
      <c r="R44" s="37">
        <v>80</v>
      </c>
      <c r="S44" s="35">
        <v>324</v>
      </c>
      <c r="T44" s="35">
        <v>294</v>
      </c>
      <c r="U44" s="35">
        <v>891</v>
      </c>
      <c r="V44" s="35">
        <v>1185</v>
      </c>
      <c r="W44" s="39">
        <v>4.67</v>
      </c>
      <c r="Z44" s="258" t="s">
        <v>105</v>
      </c>
      <c r="AA44" s="258" t="s">
        <v>108</v>
      </c>
      <c r="AB44" s="260" t="s">
        <v>107</v>
      </c>
    </row>
    <row r="45" spans="18:33">
      <c r="R45" s="37">
        <v>85</v>
      </c>
      <c r="S45" s="35">
        <v>328</v>
      </c>
      <c r="T45" s="35">
        <v>298</v>
      </c>
      <c r="U45" s="35">
        <v>889</v>
      </c>
      <c r="V45" s="35">
        <v>1187</v>
      </c>
      <c r="W45" s="39">
        <v>4.4400000000000004</v>
      </c>
      <c r="Z45" s="256">
        <v>0.125</v>
      </c>
      <c r="AA45" s="257">
        <v>0.26900000000000002</v>
      </c>
      <c r="AB45" s="259">
        <f>+(PI()*POWER(AA45,2))/4</f>
        <v>5.6832196501602761E-2</v>
      </c>
    </row>
    <row r="46" spans="18:33">
      <c r="R46" s="37">
        <v>90</v>
      </c>
      <c r="S46" s="35">
        <v>331</v>
      </c>
      <c r="T46" s="35">
        <v>302</v>
      </c>
      <c r="U46" s="35">
        <v>886</v>
      </c>
      <c r="V46" s="35">
        <v>1188</v>
      </c>
      <c r="W46" s="39">
        <v>4.24</v>
      </c>
      <c r="Z46" s="256">
        <v>0.25</v>
      </c>
      <c r="AA46" s="257">
        <v>0.36399999999999999</v>
      </c>
      <c r="AB46" s="259">
        <f t="shared" ref="AB46:AB67" si="0">+(PI()*POWER(AA46,2))/4</f>
        <v>0.10406211505750831</v>
      </c>
    </row>
    <row r="47" spans="18:33">
      <c r="R47" s="37">
        <v>95</v>
      </c>
      <c r="S47" s="35">
        <v>335</v>
      </c>
      <c r="T47" s="35">
        <v>305</v>
      </c>
      <c r="U47" s="35">
        <v>883</v>
      </c>
      <c r="V47" s="35">
        <v>1188</v>
      </c>
      <c r="W47" s="39">
        <v>4.05</v>
      </c>
      <c r="Z47" s="256">
        <v>0.375</v>
      </c>
      <c r="AA47" s="257">
        <v>0.49299999999999999</v>
      </c>
      <c r="AB47" s="259">
        <f t="shared" si="0"/>
        <v>0.1908902382155864</v>
      </c>
    </row>
    <row r="48" spans="18:33">
      <c r="R48" s="36">
        <v>100</v>
      </c>
      <c r="S48" s="34">
        <v>338</v>
      </c>
      <c r="T48" s="34">
        <v>309</v>
      </c>
      <c r="U48" s="34">
        <v>880</v>
      </c>
      <c r="V48" s="34">
        <v>1189</v>
      </c>
      <c r="W48" s="38">
        <v>3.89</v>
      </c>
      <c r="Z48" s="256">
        <v>0.5</v>
      </c>
      <c r="AA48" s="257">
        <v>0.622</v>
      </c>
      <c r="AB48" s="259">
        <f t="shared" si="0"/>
        <v>0.30385798304785838</v>
      </c>
    </row>
    <row r="49" spans="18:28">
      <c r="R49" s="37">
        <v>105</v>
      </c>
      <c r="S49" s="35">
        <v>341</v>
      </c>
      <c r="T49" s="35">
        <v>312</v>
      </c>
      <c r="U49" s="35">
        <v>878</v>
      </c>
      <c r="V49" s="35">
        <v>1190</v>
      </c>
      <c r="W49" s="39">
        <v>3.74</v>
      </c>
      <c r="Z49" s="256">
        <v>0.75</v>
      </c>
      <c r="AA49" s="257">
        <v>0.82399999999999995</v>
      </c>
      <c r="AB49" s="259">
        <f t="shared" si="0"/>
        <v>0.53326650339094572</v>
      </c>
    </row>
    <row r="50" spans="18:28">
      <c r="R50" s="37">
        <v>110</v>
      </c>
      <c r="S50" s="35">
        <v>344</v>
      </c>
      <c r="T50" s="35">
        <v>316</v>
      </c>
      <c r="U50" s="35">
        <v>875</v>
      </c>
      <c r="V50" s="35">
        <v>1191</v>
      </c>
      <c r="W50" s="39">
        <v>3.59</v>
      </c>
      <c r="Z50" s="256">
        <v>1</v>
      </c>
      <c r="AA50" s="257">
        <v>1.0489999999999999</v>
      </c>
      <c r="AB50" s="259">
        <f t="shared" si="0"/>
        <v>0.86425292440071544</v>
      </c>
    </row>
    <row r="51" spans="18:28">
      <c r="R51" s="37">
        <v>115</v>
      </c>
      <c r="S51" s="35">
        <v>347</v>
      </c>
      <c r="T51" s="35">
        <v>319</v>
      </c>
      <c r="U51" s="35">
        <v>873</v>
      </c>
      <c r="V51" s="35">
        <v>1192</v>
      </c>
      <c r="W51" s="39">
        <v>3.46</v>
      </c>
      <c r="Z51" s="256">
        <v>1.25</v>
      </c>
      <c r="AA51" s="257">
        <v>1.38</v>
      </c>
      <c r="AB51" s="259">
        <f t="shared" si="0"/>
        <v>1.4957122623741002</v>
      </c>
    </row>
    <row r="52" spans="18:28">
      <c r="R52" s="37">
        <v>120</v>
      </c>
      <c r="S52" s="35">
        <v>350</v>
      </c>
      <c r="T52" s="35">
        <v>322</v>
      </c>
      <c r="U52" s="35">
        <v>871</v>
      </c>
      <c r="V52" s="35">
        <v>1193</v>
      </c>
      <c r="W52" s="39">
        <v>3.34</v>
      </c>
      <c r="Z52" s="256">
        <v>1.5</v>
      </c>
      <c r="AA52" s="257">
        <v>1.61</v>
      </c>
      <c r="AB52" s="259">
        <f t="shared" si="0"/>
        <v>2.0358305793425258</v>
      </c>
    </row>
    <row r="53" spans="18:28">
      <c r="R53" s="36">
        <v>125</v>
      </c>
      <c r="S53" s="34">
        <v>353</v>
      </c>
      <c r="T53" s="34">
        <v>325</v>
      </c>
      <c r="U53" s="34">
        <v>868</v>
      </c>
      <c r="V53" s="34">
        <v>1193</v>
      </c>
      <c r="W53" s="38">
        <v>3.23</v>
      </c>
      <c r="Z53" s="256">
        <v>2</v>
      </c>
      <c r="AA53" s="257">
        <v>2.0670000000000002</v>
      </c>
      <c r="AB53" s="259">
        <f t="shared" si="0"/>
        <v>3.3556050137358011</v>
      </c>
    </row>
    <row r="54" spans="18:28">
      <c r="R54" s="37">
        <v>130</v>
      </c>
      <c r="S54" s="35">
        <v>356</v>
      </c>
      <c r="T54" s="35">
        <v>328</v>
      </c>
      <c r="U54" s="35">
        <v>866</v>
      </c>
      <c r="V54" s="35">
        <v>1194</v>
      </c>
      <c r="W54" s="39">
        <v>3.12</v>
      </c>
      <c r="Z54" s="256">
        <v>2.5</v>
      </c>
      <c r="AA54" s="257">
        <v>2.4689999999999999</v>
      </c>
      <c r="AB54" s="259">
        <f t="shared" si="0"/>
        <v>4.7877565735424712</v>
      </c>
    </row>
    <row r="55" spans="18:28">
      <c r="R55" s="37">
        <v>135</v>
      </c>
      <c r="S55" s="35">
        <v>358</v>
      </c>
      <c r="T55" s="35">
        <v>330</v>
      </c>
      <c r="U55" s="35">
        <v>864</v>
      </c>
      <c r="V55" s="35">
        <v>1194</v>
      </c>
      <c r="W55" s="39">
        <v>3.02</v>
      </c>
      <c r="Z55" s="256">
        <v>3</v>
      </c>
      <c r="AA55" s="257">
        <v>3.0680000000000001</v>
      </c>
      <c r="AB55" s="259">
        <f t="shared" si="0"/>
        <v>7.3926576023507442</v>
      </c>
    </row>
    <row r="56" spans="18:28">
      <c r="R56" s="37">
        <v>140</v>
      </c>
      <c r="S56" s="35">
        <v>361</v>
      </c>
      <c r="T56" s="35">
        <v>333</v>
      </c>
      <c r="U56" s="35">
        <v>861</v>
      </c>
      <c r="V56" s="35">
        <v>1194</v>
      </c>
      <c r="W56" s="39">
        <v>2.92</v>
      </c>
      <c r="Z56" s="256">
        <v>3.5</v>
      </c>
      <c r="AA56" s="257">
        <v>3.548</v>
      </c>
      <c r="AB56" s="259">
        <f t="shared" si="0"/>
        <v>9.8868308418887523</v>
      </c>
    </row>
    <row r="57" spans="18:28">
      <c r="R57" s="37">
        <v>145</v>
      </c>
      <c r="S57" s="35">
        <v>363</v>
      </c>
      <c r="T57" s="35">
        <v>336</v>
      </c>
      <c r="U57" s="35">
        <v>859</v>
      </c>
      <c r="V57" s="35">
        <v>1195</v>
      </c>
      <c r="W57" s="39">
        <v>2.84</v>
      </c>
      <c r="Z57" s="256">
        <v>4</v>
      </c>
      <c r="AA57" s="257">
        <v>4.0259999999999998</v>
      </c>
      <c r="AB57" s="259">
        <f t="shared" si="0"/>
        <v>12.730264361504297</v>
      </c>
    </row>
    <row r="58" spans="18:28">
      <c r="R58" s="36">
        <v>150</v>
      </c>
      <c r="S58" s="34">
        <v>366</v>
      </c>
      <c r="T58" s="34">
        <v>339</v>
      </c>
      <c r="U58" s="34">
        <v>857</v>
      </c>
      <c r="V58" s="34">
        <v>1196</v>
      </c>
      <c r="W58" s="38">
        <v>2.74</v>
      </c>
      <c r="Z58" s="256">
        <v>5</v>
      </c>
      <c r="AA58" s="257">
        <v>5.0469999999999997</v>
      </c>
      <c r="AB58" s="259">
        <f t="shared" si="0"/>
        <v>20.005826166275948</v>
      </c>
    </row>
    <row r="59" spans="18:28">
      <c r="R59" s="37">
        <v>155</v>
      </c>
      <c r="S59" s="35">
        <v>368</v>
      </c>
      <c r="T59" s="35">
        <v>341</v>
      </c>
      <c r="U59" s="35">
        <v>855</v>
      </c>
      <c r="V59" s="35">
        <v>1196</v>
      </c>
      <c r="W59" s="39">
        <v>2.68</v>
      </c>
      <c r="Z59" s="256">
        <v>6</v>
      </c>
      <c r="AA59" s="257">
        <v>6.0650000000000004</v>
      </c>
      <c r="AB59" s="259">
        <f t="shared" si="0"/>
        <v>28.890262756998506</v>
      </c>
    </row>
    <row r="60" spans="18:28">
      <c r="R60" s="37">
        <v>160</v>
      </c>
      <c r="S60" s="35">
        <v>371</v>
      </c>
      <c r="T60" s="35">
        <v>344</v>
      </c>
      <c r="U60" s="35">
        <v>853</v>
      </c>
      <c r="V60" s="35">
        <v>1197</v>
      </c>
      <c r="W60" s="39">
        <v>2.6</v>
      </c>
      <c r="Z60" s="256">
        <v>8</v>
      </c>
      <c r="AA60" s="257">
        <v>7.9809999999999999</v>
      </c>
      <c r="AB60" s="259">
        <f t="shared" si="0"/>
        <v>50.027004944500852</v>
      </c>
    </row>
    <row r="61" spans="18:28">
      <c r="R61" s="37">
        <v>165</v>
      </c>
      <c r="S61" s="35">
        <v>373</v>
      </c>
      <c r="T61" s="35">
        <v>346</v>
      </c>
      <c r="U61" s="35">
        <v>851</v>
      </c>
      <c r="V61" s="35">
        <v>1197</v>
      </c>
      <c r="W61" s="39">
        <v>2.54</v>
      </c>
      <c r="Z61" s="256">
        <v>10</v>
      </c>
      <c r="AA61" s="257">
        <v>10.02</v>
      </c>
      <c r="AB61" s="259">
        <f t="shared" si="0"/>
        <v>78.854289764369156</v>
      </c>
    </row>
    <row r="62" spans="18:28">
      <c r="R62" s="37">
        <v>170</v>
      </c>
      <c r="S62" s="35">
        <v>375</v>
      </c>
      <c r="T62" s="35">
        <v>348</v>
      </c>
      <c r="U62" s="35">
        <v>849</v>
      </c>
      <c r="V62" s="35">
        <v>1197</v>
      </c>
      <c r="W62" s="39">
        <v>2.4700000000000002</v>
      </c>
      <c r="Z62" s="256">
        <v>12</v>
      </c>
      <c r="AA62" s="257">
        <v>11.938000000000001</v>
      </c>
      <c r="AB62" s="259">
        <f t="shared" si="0"/>
        <v>111.93168213263726</v>
      </c>
    </row>
    <row r="63" spans="18:28">
      <c r="R63" s="36">
        <v>175</v>
      </c>
      <c r="S63" s="34">
        <v>377</v>
      </c>
      <c r="T63" s="34">
        <v>351</v>
      </c>
      <c r="U63" s="34">
        <v>847</v>
      </c>
      <c r="V63" s="34">
        <v>1198</v>
      </c>
      <c r="W63" s="38">
        <v>2.41</v>
      </c>
      <c r="Z63" s="256">
        <v>14</v>
      </c>
      <c r="AA63" s="257">
        <v>13.125999999999999</v>
      </c>
      <c r="AB63" s="259">
        <f t="shared" si="0"/>
        <v>135.31772297870089</v>
      </c>
    </row>
    <row r="64" spans="18:28">
      <c r="R64" s="37">
        <v>180</v>
      </c>
      <c r="S64" s="35">
        <v>380</v>
      </c>
      <c r="T64" s="35">
        <v>353</v>
      </c>
      <c r="U64" s="35">
        <v>845</v>
      </c>
      <c r="V64" s="35">
        <v>1198</v>
      </c>
      <c r="W64" s="39">
        <v>2.34</v>
      </c>
      <c r="Z64" s="256">
        <v>16</v>
      </c>
      <c r="AA64" s="257">
        <v>15</v>
      </c>
      <c r="AB64" s="259">
        <f t="shared" si="0"/>
        <v>176.71458676442586</v>
      </c>
    </row>
    <row r="65" spans="18:28">
      <c r="R65" s="37">
        <v>185</v>
      </c>
      <c r="S65" s="35">
        <v>382</v>
      </c>
      <c r="T65" s="35">
        <v>355</v>
      </c>
      <c r="U65" s="35">
        <v>843</v>
      </c>
      <c r="V65" s="35">
        <v>1198</v>
      </c>
      <c r="W65" s="39">
        <v>2.29</v>
      </c>
      <c r="Z65" s="256">
        <v>18</v>
      </c>
      <c r="AA65" s="257">
        <v>16.876000000000001</v>
      </c>
      <c r="AB65" s="259">
        <f t="shared" si="0"/>
        <v>223.68090684713934</v>
      </c>
    </row>
    <row r="66" spans="18:28">
      <c r="R66" s="37">
        <v>190</v>
      </c>
      <c r="S66" s="35">
        <v>384</v>
      </c>
      <c r="T66" s="35">
        <v>358</v>
      </c>
      <c r="U66" s="35">
        <v>841</v>
      </c>
      <c r="V66" s="35">
        <v>1199</v>
      </c>
      <c r="W66" s="39">
        <v>2.2400000000000002</v>
      </c>
      <c r="Z66" s="256">
        <v>20</v>
      </c>
      <c r="AA66" s="257">
        <v>18.814</v>
      </c>
      <c r="AB66" s="259">
        <f t="shared" si="0"/>
        <v>278.00471440244655</v>
      </c>
    </row>
    <row r="67" spans="18:28">
      <c r="R67" s="37">
        <v>195</v>
      </c>
      <c r="S67" s="35">
        <v>386</v>
      </c>
      <c r="T67" s="35">
        <v>360</v>
      </c>
      <c r="U67" s="35">
        <v>839</v>
      </c>
      <c r="V67" s="35">
        <v>1199</v>
      </c>
      <c r="W67" s="39">
        <v>2.19</v>
      </c>
      <c r="Z67" s="256">
        <v>24</v>
      </c>
      <c r="AA67" s="257">
        <v>22.626000000000001</v>
      </c>
      <c r="AB67" s="259">
        <f t="shared" si="0"/>
        <v>402.07349678766388</v>
      </c>
    </row>
    <row r="68" spans="18:28">
      <c r="R68" s="36">
        <v>200</v>
      </c>
      <c r="S68" s="34">
        <v>388</v>
      </c>
      <c r="T68" s="34">
        <v>362</v>
      </c>
      <c r="U68" s="34">
        <v>837</v>
      </c>
      <c r="V68" s="34">
        <v>1199</v>
      </c>
      <c r="W68" s="38">
        <v>2.14</v>
      </c>
      <c r="Z68" s="255">
        <v>30</v>
      </c>
    </row>
    <row r="69" spans="18:28">
      <c r="R69" s="37">
        <v>205</v>
      </c>
      <c r="S69" s="35">
        <v>390</v>
      </c>
      <c r="T69" s="35">
        <v>364</v>
      </c>
      <c r="U69" s="35">
        <v>836</v>
      </c>
      <c r="V69" s="35">
        <v>1200</v>
      </c>
      <c r="W69" s="39">
        <v>2.09</v>
      </c>
      <c r="Z69" s="255">
        <v>36</v>
      </c>
    </row>
    <row r="70" spans="18:28">
      <c r="R70" s="37">
        <v>210</v>
      </c>
      <c r="S70" s="35">
        <v>392</v>
      </c>
      <c r="T70" s="35">
        <v>366</v>
      </c>
      <c r="U70" s="35">
        <v>834</v>
      </c>
      <c r="V70" s="35">
        <v>1200</v>
      </c>
      <c r="W70" s="39">
        <v>2.0499999999999998</v>
      </c>
      <c r="Z70" s="255">
        <v>42</v>
      </c>
    </row>
    <row r="71" spans="18:28">
      <c r="R71" s="37">
        <v>215</v>
      </c>
      <c r="S71" s="35">
        <v>394</v>
      </c>
      <c r="T71" s="35">
        <v>368</v>
      </c>
      <c r="U71" s="35">
        <v>832</v>
      </c>
      <c r="V71" s="35">
        <v>1200</v>
      </c>
      <c r="W71" s="39">
        <v>2</v>
      </c>
    </row>
    <row r="72" spans="18:28">
      <c r="R72" s="37">
        <v>220</v>
      </c>
      <c r="S72" s="35">
        <v>396</v>
      </c>
      <c r="T72" s="35">
        <v>370</v>
      </c>
      <c r="U72" s="35">
        <v>830</v>
      </c>
      <c r="V72" s="35">
        <v>1200</v>
      </c>
      <c r="W72" s="39">
        <v>1.96</v>
      </c>
    </row>
    <row r="73" spans="18:28">
      <c r="R73" s="36">
        <v>225</v>
      </c>
      <c r="S73" s="34">
        <v>397</v>
      </c>
      <c r="T73" s="34">
        <v>372</v>
      </c>
      <c r="U73" s="34">
        <v>828</v>
      </c>
      <c r="V73" s="34">
        <v>1200</v>
      </c>
      <c r="W73" s="38">
        <v>1.92</v>
      </c>
    </row>
    <row r="74" spans="18:28">
      <c r="R74" s="37">
        <v>230</v>
      </c>
      <c r="S74" s="35">
        <v>399</v>
      </c>
      <c r="T74" s="35">
        <v>374</v>
      </c>
      <c r="U74" s="35">
        <v>827</v>
      </c>
      <c r="V74" s="35">
        <v>1201</v>
      </c>
      <c r="W74" s="39">
        <v>1.89</v>
      </c>
    </row>
    <row r="75" spans="18:28">
      <c r="R75" s="37">
        <v>235</v>
      </c>
      <c r="S75" s="35">
        <v>401</v>
      </c>
      <c r="T75" s="35">
        <v>376</v>
      </c>
      <c r="U75" s="35">
        <v>825</v>
      </c>
      <c r="V75" s="35">
        <v>1201</v>
      </c>
      <c r="W75" s="39">
        <v>1.85</v>
      </c>
    </row>
    <row r="76" spans="18:28">
      <c r="R76" s="37">
        <v>240</v>
      </c>
      <c r="S76" s="35">
        <v>403</v>
      </c>
      <c r="T76" s="35">
        <v>378</v>
      </c>
      <c r="U76" s="35">
        <v>823</v>
      </c>
      <c r="V76" s="35">
        <v>1201</v>
      </c>
      <c r="W76" s="39">
        <v>1.81</v>
      </c>
    </row>
    <row r="77" spans="18:28">
      <c r="R77" s="37">
        <v>245</v>
      </c>
      <c r="S77" s="35">
        <v>404</v>
      </c>
      <c r="T77" s="35">
        <v>380</v>
      </c>
      <c r="U77" s="35">
        <v>822</v>
      </c>
      <c r="V77" s="35">
        <v>1202</v>
      </c>
      <c r="W77" s="39">
        <v>1.78</v>
      </c>
    </row>
    <row r="78" spans="18:28">
      <c r="R78" s="36">
        <v>250</v>
      </c>
      <c r="S78" s="34">
        <v>406</v>
      </c>
      <c r="T78" s="34">
        <v>382</v>
      </c>
      <c r="U78" s="34">
        <v>820</v>
      </c>
      <c r="V78" s="34">
        <v>1202</v>
      </c>
      <c r="W78" s="38">
        <v>1.75</v>
      </c>
    </row>
    <row r="79" spans="18:28">
      <c r="R79" s="37">
        <v>255</v>
      </c>
      <c r="S79" s="35">
        <v>408</v>
      </c>
      <c r="T79" s="35">
        <v>383</v>
      </c>
      <c r="U79" s="35">
        <v>819</v>
      </c>
      <c r="V79" s="35">
        <v>1202</v>
      </c>
      <c r="W79" s="39">
        <v>1.72</v>
      </c>
    </row>
    <row r="80" spans="18:28">
      <c r="R80" s="37">
        <v>260</v>
      </c>
      <c r="S80" s="35">
        <v>409</v>
      </c>
      <c r="T80" s="35">
        <v>385</v>
      </c>
      <c r="U80" s="35">
        <v>817</v>
      </c>
      <c r="V80" s="35">
        <v>1202</v>
      </c>
      <c r="W80" s="39">
        <v>1.69</v>
      </c>
    </row>
    <row r="81" spans="18:23">
      <c r="R81" s="37">
        <v>265</v>
      </c>
      <c r="S81" s="35">
        <v>411</v>
      </c>
      <c r="T81" s="35">
        <v>387</v>
      </c>
      <c r="U81" s="35">
        <v>815</v>
      </c>
      <c r="V81" s="35">
        <v>1202</v>
      </c>
      <c r="W81" s="39">
        <v>1.66</v>
      </c>
    </row>
    <row r="82" spans="18:23">
      <c r="R82" s="37">
        <v>270</v>
      </c>
      <c r="S82" s="35">
        <v>413</v>
      </c>
      <c r="T82" s="35">
        <v>389</v>
      </c>
      <c r="U82" s="35">
        <v>814</v>
      </c>
      <c r="V82" s="35">
        <v>1203</v>
      </c>
      <c r="W82" s="39">
        <v>1.63</v>
      </c>
    </row>
    <row r="83" spans="18:23">
      <c r="R83" s="36">
        <v>275</v>
      </c>
      <c r="S83" s="34">
        <v>414</v>
      </c>
      <c r="T83" s="34">
        <v>391</v>
      </c>
      <c r="U83" s="34">
        <v>812</v>
      </c>
      <c r="V83" s="34">
        <v>1203</v>
      </c>
      <c r="W83" s="38">
        <v>1.6</v>
      </c>
    </row>
    <row r="84" spans="18:23">
      <c r="R84" s="37">
        <v>280</v>
      </c>
      <c r="S84" s="35">
        <v>416</v>
      </c>
      <c r="T84" s="35">
        <v>392</v>
      </c>
      <c r="U84" s="35">
        <v>811</v>
      </c>
      <c r="V84" s="35">
        <v>1203</v>
      </c>
      <c r="W84" s="39">
        <v>1.57</v>
      </c>
    </row>
    <row r="85" spans="18:23">
      <c r="R85" s="37">
        <v>285</v>
      </c>
      <c r="S85" s="35">
        <v>417</v>
      </c>
      <c r="T85" s="35">
        <v>394</v>
      </c>
      <c r="U85" s="35">
        <v>809</v>
      </c>
      <c r="V85" s="35">
        <v>1203</v>
      </c>
      <c r="W85" s="39">
        <v>1.55</v>
      </c>
    </row>
    <row r="86" spans="18:23">
      <c r="R86" s="37">
        <v>290</v>
      </c>
      <c r="S86" s="35">
        <v>418</v>
      </c>
      <c r="T86" s="35">
        <v>395</v>
      </c>
      <c r="U86" s="35">
        <v>808</v>
      </c>
      <c r="V86" s="35">
        <v>1203</v>
      </c>
      <c r="W86" s="39">
        <v>1.53</v>
      </c>
    </row>
    <row r="87" spans="18:23">
      <c r="R87" s="37">
        <v>295</v>
      </c>
      <c r="S87" s="35">
        <v>420</v>
      </c>
      <c r="T87" s="35">
        <v>397</v>
      </c>
      <c r="U87" s="35">
        <v>806</v>
      </c>
      <c r="V87" s="35">
        <v>1203</v>
      </c>
      <c r="W87" s="39">
        <v>1.49</v>
      </c>
    </row>
    <row r="88" spans="18:23">
      <c r="R88" s="36">
        <v>300</v>
      </c>
      <c r="S88" s="34">
        <v>421</v>
      </c>
      <c r="T88" s="34">
        <v>398</v>
      </c>
      <c r="U88" s="34">
        <v>805</v>
      </c>
      <c r="V88" s="34">
        <v>1203</v>
      </c>
      <c r="W88" s="38">
        <v>1.47</v>
      </c>
    </row>
    <row r="89" spans="18:23">
      <c r="R89" s="37">
        <v>305</v>
      </c>
      <c r="S89" s="35">
        <v>423</v>
      </c>
      <c r="T89" s="35">
        <v>400</v>
      </c>
      <c r="U89" s="35">
        <v>803</v>
      </c>
      <c r="V89" s="35">
        <v>1203</v>
      </c>
      <c r="W89" s="39">
        <v>1.45</v>
      </c>
    </row>
    <row r="90" spans="18:23">
      <c r="R90" s="37">
        <v>310</v>
      </c>
      <c r="S90" s="35">
        <v>425</v>
      </c>
      <c r="T90" s="35">
        <v>402</v>
      </c>
      <c r="U90" s="35">
        <v>802</v>
      </c>
      <c r="V90" s="35">
        <v>1204</v>
      </c>
      <c r="W90" s="39">
        <v>1.43</v>
      </c>
    </row>
    <row r="91" spans="18:23">
      <c r="R91" s="37">
        <v>315</v>
      </c>
      <c r="S91" s="35">
        <v>426</v>
      </c>
      <c r="T91" s="35">
        <v>404</v>
      </c>
      <c r="U91" s="35">
        <v>800</v>
      </c>
      <c r="V91" s="35">
        <v>1204</v>
      </c>
      <c r="W91" s="39">
        <v>1.41</v>
      </c>
    </row>
    <row r="92" spans="18:23">
      <c r="R92" s="37">
        <v>320</v>
      </c>
      <c r="S92" s="35">
        <v>427</v>
      </c>
      <c r="T92" s="35">
        <v>405</v>
      </c>
      <c r="U92" s="35">
        <v>799</v>
      </c>
      <c r="V92" s="35">
        <v>1204</v>
      </c>
      <c r="W92" s="39">
        <v>1.38</v>
      </c>
    </row>
    <row r="93" spans="18:23">
      <c r="R93" s="36">
        <v>325</v>
      </c>
      <c r="S93" s="34">
        <v>429</v>
      </c>
      <c r="T93" s="34">
        <v>407</v>
      </c>
      <c r="U93" s="34">
        <v>797</v>
      </c>
      <c r="V93" s="34">
        <v>1204</v>
      </c>
      <c r="W93" s="38">
        <v>1.36</v>
      </c>
    </row>
    <row r="94" spans="18:23">
      <c r="R94" s="37">
        <v>330</v>
      </c>
      <c r="S94" s="35">
        <v>430</v>
      </c>
      <c r="T94" s="35">
        <v>408</v>
      </c>
      <c r="U94" s="35">
        <v>796</v>
      </c>
      <c r="V94" s="35">
        <v>1204</v>
      </c>
      <c r="W94" s="39">
        <v>1.34</v>
      </c>
    </row>
    <row r="95" spans="18:23">
      <c r="R95" s="37">
        <v>335</v>
      </c>
      <c r="S95" s="35">
        <v>432</v>
      </c>
      <c r="T95" s="35">
        <v>410</v>
      </c>
      <c r="U95" s="35">
        <v>794</v>
      </c>
      <c r="V95" s="35">
        <v>1204</v>
      </c>
      <c r="W95" s="39">
        <v>1.33</v>
      </c>
    </row>
    <row r="96" spans="18:23">
      <c r="R96" s="37">
        <v>340</v>
      </c>
      <c r="S96" s="35">
        <v>433</v>
      </c>
      <c r="T96" s="35">
        <v>411</v>
      </c>
      <c r="U96" s="35">
        <v>793</v>
      </c>
      <c r="V96" s="35">
        <v>1204</v>
      </c>
      <c r="W96" s="39">
        <v>1.31</v>
      </c>
    </row>
    <row r="97" spans="18:23">
      <c r="R97" s="37">
        <v>345</v>
      </c>
      <c r="S97" s="35">
        <v>434</v>
      </c>
      <c r="T97" s="35">
        <v>413</v>
      </c>
      <c r="U97" s="35">
        <v>791</v>
      </c>
      <c r="V97" s="35">
        <v>1204</v>
      </c>
      <c r="W97" s="39">
        <v>1.29</v>
      </c>
    </row>
    <row r="98" spans="18:23">
      <c r="R98" s="36">
        <v>350</v>
      </c>
      <c r="S98" s="34">
        <v>435</v>
      </c>
      <c r="T98" s="34">
        <v>414</v>
      </c>
      <c r="U98" s="34">
        <v>790</v>
      </c>
      <c r="V98" s="34">
        <v>1204</v>
      </c>
      <c r="W98" s="38">
        <v>1.28</v>
      </c>
    </row>
    <row r="99" spans="18:23">
      <c r="R99" s="37">
        <v>355</v>
      </c>
      <c r="S99" s="35">
        <v>437</v>
      </c>
      <c r="T99" s="35">
        <v>416</v>
      </c>
      <c r="U99" s="35">
        <v>789</v>
      </c>
      <c r="V99" s="35">
        <v>1205</v>
      </c>
      <c r="W99" s="39">
        <v>1.26</v>
      </c>
    </row>
    <row r="100" spans="18:23">
      <c r="R100" s="37">
        <v>360</v>
      </c>
      <c r="S100" s="35">
        <v>438</v>
      </c>
      <c r="T100" s="35">
        <v>417</v>
      </c>
      <c r="U100" s="35">
        <v>788</v>
      </c>
      <c r="V100" s="35">
        <v>1205</v>
      </c>
      <c r="W100" s="39">
        <v>1.24</v>
      </c>
    </row>
    <row r="101" spans="18:23">
      <c r="R101" s="37">
        <v>365</v>
      </c>
      <c r="S101" s="35">
        <v>440</v>
      </c>
      <c r="T101" s="35">
        <v>419</v>
      </c>
      <c r="U101" s="35">
        <v>786</v>
      </c>
      <c r="V101" s="35">
        <v>1205</v>
      </c>
      <c r="W101" s="39">
        <v>1.22</v>
      </c>
    </row>
    <row r="102" spans="18:23">
      <c r="R102" s="37">
        <v>370</v>
      </c>
      <c r="S102" s="35">
        <v>441</v>
      </c>
      <c r="T102" s="35">
        <v>420</v>
      </c>
      <c r="U102" s="35">
        <v>785</v>
      </c>
      <c r="V102" s="35">
        <v>1205</v>
      </c>
      <c r="W102" s="39">
        <v>1.2</v>
      </c>
    </row>
    <row r="103" spans="18:23">
      <c r="R103" s="36">
        <v>375</v>
      </c>
      <c r="S103" s="34">
        <v>442</v>
      </c>
      <c r="T103" s="34">
        <v>421</v>
      </c>
      <c r="U103" s="34">
        <v>784</v>
      </c>
      <c r="V103" s="34">
        <v>1205</v>
      </c>
      <c r="W103" s="38">
        <v>1.19</v>
      </c>
    </row>
    <row r="104" spans="18:23">
      <c r="R104" s="37">
        <v>380</v>
      </c>
      <c r="S104" s="35">
        <v>443</v>
      </c>
      <c r="T104" s="35">
        <v>422</v>
      </c>
      <c r="U104" s="35">
        <v>783</v>
      </c>
      <c r="V104" s="35">
        <v>1205</v>
      </c>
      <c r="W104" s="39">
        <v>1.18</v>
      </c>
    </row>
    <row r="105" spans="18:23">
      <c r="R105" s="37">
        <v>385</v>
      </c>
      <c r="S105" s="35">
        <v>445</v>
      </c>
      <c r="T105" s="35">
        <v>424</v>
      </c>
      <c r="U105" s="35">
        <v>781</v>
      </c>
      <c r="V105" s="35">
        <v>1205</v>
      </c>
      <c r="W105" s="39">
        <v>1.1599999999999999</v>
      </c>
    </row>
    <row r="106" spans="18:23">
      <c r="R106" s="37">
        <v>390</v>
      </c>
      <c r="S106" s="35">
        <v>446</v>
      </c>
      <c r="T106" s="35">
        <v>425</v>
      </c>
      <c r="U106" s="35">
        <v>780</v>
      </c>
      <c r="V106" s="35">
        <v>1205</v>
      </c>
      <c r="W106" s="39">
        <v>1.1399999999999999</v>
      </c>
    </row>
    <row r="107" spans="18:23">
      <c r="R107" s="37">
        <v>395</v>
      </c>
      <c r="S107" s="35">
        <v>447</v>
      </c>
      <c r="T107" s="35">
        <v>427</v>
      </c>
      <c r="U107" s="35">
        <v>778</v>
      </c>
      <c r="V107" s="35">
        <v>1205</v>
      </c>
      <c r="W107" s="39">
        <v>1.1299999999999999</v>
      </c>
    </row>
    <row r="108" spans="18:23">
      <c r="R108" s="36">
        <v>400</v>
      </c>
      <c r="S108" s="34">
        <v>448</v>
      </c>
      <c r="T108" s="34">
        <v>428</v>
      </c>
      <c r="U108" s="34">
        <v>777</v>
      </c>
      <c r="V108" s="34">
        <v>1205</v>
      </c>
      <c r="W108" s="38">
        <v>1.1200000000000001</v>
      </c>
    </row>
    <row r="109" spans="18:23">
      <c r="R109" s="37">
        <v>450</v>
      </c>
      <c r="S109" s="35">
        <v>460</v>
      </c>
      <c r="T109" s="35">
        <v>439</v>
      </c>
      <c r="U109" s="35">
        <v>766</v>
      </c>
      <c r="V109" s="35">
        <v>1205</v>
      </c>
      <c r="W109" s="39">
        <v>1</v>
      </c>
    </row>
    <row r="110" spans="18:23">
      <c r="R110" s="37">
        <v>500</v>
      </c>
      <c r="S110" s="35">
        <v>470</v>
      </c>
      <c r="T110" s="35">
        <v>453</v>
      </c>
      <c r="U110" s="35">
        <v>751</v>
      </c>
      <c r="V110" s="35">
        <v>1204</v>
      </c>
      <c r="W110" s="39">
        <v>0.89</v>
      </c>
    </row>
    <row r="111" spans="18:23">
      <c r="R111" s="37">
        <v>550</v>
      </c>
      <c r="S111" s="35">
        <v>479</v>
      </c>
      <c r="T111" s="35">
        <v>464</v>
      </c>
      <c r="U111" s="35">
        <v>740</v>
      </c>
      <c r="V111" s="35">
        <v>1204</v>
      </c>
      <c r="W111" s="39">
        <v>0.82</v>
      </c>
    </row>
    <row r="112" spans="18:23">
      <c r="R112" s="37">
        <v>600</v>
      </c>
      <c r="S112" s="35">
        <v>489</v>
      </c>
      <c r="T112" s="35">
        <v>473</v>
      </c>
      <c r="U112" s="35">
        <v>730</v>
      </c>
      <c r="V112" s="35">
        <v>1203</v>
      </c>
      <c r="W112" s="39">
        <v>0.75</v>
      </c>
    </row>
    <row r="113" spans="18:23">
      <c r="R113" s="36">
        <v>650</v>
      </c>
      <c r="S113" s="34">
        <v>497</v>
      </c>
      <c r="T113" s="34">
        <v>483</v>
      </c>
      <c r="U113" s="34">
        <v>719</v>
      </c>
      <c r="V113" s="34">
        <v>1202</v>
      </c>
      <c r="W113" s="38">
        <v>0.69</v>
      </c>
    </row>
    <row r="114" spans="18:23">
      <c r="R114" s="37">
        <v>700</v>
      </c>
      <c r="S114" s="35">
        <v>505</v>
      </c>
      <c r="T114" s="35">
        <v>491</v>
      </c>
      <c r="U114" s="35">
        <v>710</v>
      </c>
      <c r="V114" s="35">
        <v>1201</v>
      </c>
      <c r="W114" s="39">
        <v>0.64</v>
      </c>
    </row>
    <row r="115" spans="18:23">
      <c r="R115" s="37">
        <v>750</v>
      </c>
      <c r="S115" s="35">
        <v>513</v>
      </c>
      <c r="T115" s="35">
        <v>504</v>
      </c>
      <c r="U115" s="35">
        <v>696</v>
      </c>
      <c r="V115" s="35">
        <v>1200</v>
      </c>
      <c r="W115" s="39">
        <v>0.6</v>
      </c>
    </row>
    <row r="116" spans="18:23">
      <c r="R116" s="37">
        <v>800</v>
      </c>
      <c r="S116" s="35">
        <v>520</v>
      </c>
      <c r="T116" s="35">
        <v>512</v>
      </c>
      <c r="U116" s="35">
        <v>686</v>
      </c>
      <c r="V116" s="35">
        <v>1198</v>
      </c>
      <c r="W116" s="39">
        <v>0.56000000000000005</v>
      </c>
    </row>
    <row r="117" spans="18:23">
      <c r="R117" s="37">
        <v>900</v>
      </c>
      <c r="S117" s="35">
        <v>534</v>
      </c>
      <c r="T117" s="35">
        <v>529</v>
      </c>
      <c r="U117" s="35">
        <v>666</v>
      </c>
      <c r="V117" s="35">
        <v>1195</v>
      </c>
      <c r="W117" s="39">
        <v>0.49</v>
      </c>
    </row>
    <row r="118" spans="18:23">
      <c r="R118" s="36">
        <v>1000</v>
      </c>
      <c r="S118" s="34">
        <v>546</v>
      </c>
      <c r="T118" s="34">
        <v>544</v>
      </c>
      <c r="U118" s="34">
        <v>647</v>
      </c>
      <c r="V118" s="34">
        <v>1191</v>
      </c>
      <c r="W118" s="38">
        <v>0.44</v>
      </c>
    </row>
    <row r="119" spans="18:23">
      <c r="R119" s="37">
        <v>1250</v>
      </c>
      <c r="S119" s="35">
        <v>574</v>
      </c>
      <c r="T119" s="35">
        <v>580</v>
      </c>
      <c r="U119" s="35">
        <v>600</v>
      </c>
      <c r="V119" s="35">
        <v>1180</v>
      </c>
      <c r="W119" s="39">
        <v>0.34</v>
      </c>
    </row>
    <row r="120" spans="18:23">
      <c r="R120" s="37">
        <v>1500</v>
      </c>
      <c r="S120" s="35">
        <v>597</v>
      </c>
      <c r="T120" s="35">
        <v>610</v>
      </c>
      <c r="U120" s="35">
        <v>557</v>
      </c>
      <c r="V120" s="35">
        <v>1167</v>
      </c>
      <c r="W120" s="39">
        <v>0.23</v>
      </c>
    </row>
    <row r="121" spans="18:23">
      <c r="R121" s="37">
        <v>1750</v>
      </c>
      <c r="S121" s="35">
        <v>618</v>
      </c>
      <c r="T121" s="35">
        <v>642</v>
      </c>
      <c r="U121" s="35">
        <v>509</v>
      </c>
      <c r="V121" s="35">
        <v>1151</v>
      </c>
      <c r="W121" s="39">
        <v>0.22</v>
      </c>
    </row>
    <row r="122" spans="18:23">
      <c r="R122" s="37">
        <v>2000</v>
      </c>
      <c r="S122" s="35">
        <v>636</v>
      </c>
      <c r="T122" s="35">
        <v>672</v>
      </c>
      <c r="U122" s="35">
        <v>462</v>
      </c>
      <c r="V122" s="35">
        <v>1134</v>
      </c>
      <c r="W122" s="39">
        <v>0.19</v>
      </c>
    </row>
    <row r="123" spans="18:23">
      <c r="R123" s="36">
        <v>2250</v>
      </c>
      <c r="S123" s="34">
        <v>654</v>
      </c>
      <c r="T123" s="34">
        <v>701</v>
      </c>
      <c r="U123" s="34">
        <v>413</v>
      </c>
      <c r="V123" s="34">
        <v>1114</v>
      </c>
      <c r="W123" s="38">
        <v>0.16</v>
      </c>
    </row>
    <row r="124" spans="18:23">
      <c r="R124" s="37">
        <v>2500</v>
      </c>
      <c r="S124" s="35">
        <v>669</v>
      </c>
      <c r="T124" s="35">
        <v>733</v>
      </c>
      <c r="U124" s="35">
        <v>358</v>
      </c>
      <c r="V124" s="35">
        <v>1091</v>
      </c>
      <c r="W124" s="39">
        <v>0.13</v>
      </c>
    </row>
    <row r="125" spans="18:23">
      <c r="R125" s="37">
        <v>2750</v>
      </c>
      <c r="S125" s="35">
        <v>683</v>
      </c>
      <c r="T125" s="35">
        <v>764</v>
      </c>
      <c r="U125" s="35">
        <v>295</v>
      </c>
      <c r="V125" s="35">
        <v>1059</v>
      </c>
      <c r="W125" s="39">
        <v>0.11</v>
      </c>
    </row>
    <row r="126" spans="18:23">
      <c r="R126" s="40">
        <v>3000</v>
      </c>
      <c r="S126" s="41">
        <v>696</v>
      </c>
      <c r="T126" s="41">
        <v>804</v>
      </c>
      <c r="U126" s="41">
        <v>213</v>
      </c>
      <c r="V126" s="41">
        <v>1017</v>
      </c>
      <c r="W126" s="42">
        <v>0.08</v>
      </c>
    </row>
  </sheetData>
  <sheetProtection algorithmName="SHA-512" hashValue="wJGECq5fSxH0TTh/gHHlCIy2PGJmYlZtkk21ezphbtq9/QppYDsgF5syhz0FxzgYtfEuWdwFYFQKqI5TayLO9g==" saltValue="+DFUm0qD9TPnTe/UnSCq5w==" spinCount="100000" sheet="1" objects="1" scenarios="1" selectLockedCells="1"/>
  <mergeCells count="16">
    <mergeCell ref="D10:E10"/>
    <mergeCell ref="T1:V1"/>
    <mergeCell ref="Z43:AA43"/>
    <mergeCell ref="D5:E6"/>
    <mergeCell ref="D4:E4"/>
    <mergeCell ref="D3:E3"/>
    <mergeCell ref="F5:F6"/>
    <mergeCell ref="M13:N13"/>
    <mergeCell ref="D2:E2"/>
    <mergeCell ref="F14:F15"/>
    <mergeCell ref="D14:E15"/>
    <mergeCell ref="D13:E13"/>
    <mergeCell ref="D12:E12"/>
    <mergeCell ref="D11:E11"/>
    <mergeCell ref="J1:L2"/>
    <mergeCell ref="J11:N12"/>
  </mergeCells>
  <conditionalFormatting sqref="G3">
    <cfRule type="cellIs" dxfId="22" priority="12" operator="lessThan">
      <formula>98.42519685</formula>
    </cfRule>
    <cfRule type="cellIs" dxfId="21" priority="8" operator="greaterThan">
      <formula>95.9481786</formula>
    </cfRule>
    <cfRule type="cellIs" dxfId="20" priority="7" operator="greaterThan">
      <formula>98.42519686</formula>
    </cfRule>
    <cfRule type="cellIs" dxfId="19" priority="6" operator="lessThan">
      <formula>98.42519686</formula>
    </cfRule>
    <cfRule type="cellIs" dxfId="18" priority="5" operator="greaterThan">
      <formula>98.42519685</formula>
    </cfRule>
    <cfRule type="cellIs" dxfId="17" priority="2" operator="greaterThan">
      <formula>98.42519685</formula>
    </cfRule>
  </conditionalFormatting>
  <conditionalFormatting sqref="H5">
    <cfRule type="cellIs" dxfId="16" priority="11" operator="greaterThan">
      <formula>98.42519685</formula>
    </cfRule>
  </conditionalFormatting>
  <conditionalFormatting sqref="H3">
    <cfRule type="cellIs" dxfId="15" priority="10" operator="lessThan">
      <formula>30</formula>
    </cfRule>
    <cfRule type="cellIs" dxfId="14" priority="9" operator="greaterThan">
      <formula>31</formula>
    </cfRule>
    <cfRule type="cellIs" dxfId="13" priority="4" operator="lessThan">
      <formula>30.1</formula>
    </cfRule>
    <cfRule type="cellIs" dxfId="12" priority="3" operator="greaterThan">
      <formula>30</formula>
    </cfRule>
    <cfRule type="cellIs" dxfId="11" priority="1" operator="greaterThan">
      <formula>30</formula>
    </cfRule>
  </conditionalFormatting>
  <dataValidations count="4">
    <dataValidation type="list" allowBlank="1" showInputMessage="1" showErrorMessage="1" sqref="K21" xr:uid="{00000000-0002-0000-0000-000000000000}">
      <formula1>$R$3:$R$126</formula1>
    </dataValidation>
    <dataValidation type="list" allowBlank="1" showInputMessage="1" showErrorMessage="1" promptTitle="Diámetro" prompt="Seleccionar" sqref="K5" xr:uid="{3C86740E-1DE6-4D04-A55B-441BC2198F9B}">
      <formula1>$Z$45:$Z$67</formula1>
    </dataValidation>
    <dataValidation type="list" allowBlank="1" showInputMessage="1" showErrorMessage="1" promptTitle="Presión" prompt="Seleccionar" sqref="K6" xr:uid="{3656A23F-4B77-4255-8A24-B38BAC426202}">
      <formula1>$R$3:$R$126</formula1>
    </dataValidation>
    <dataValidation allowBlank="1" showInputMessage="1" showErrorMessage="1" promptTitle="Caudal" prompt="Digite el caudal de vapor saturado en lb/h" sqref="K3" xr:uid="{14CEC512-45E4-41B7-98E9-57603025508D}"/>
  </dataValidations>
  <pageMargins left="0.7" right="0.7" top="0.75" bottom="0.75" header="0.3" footer="0.3"/>
  <pageSetup paperSize="9" orientation="portrait" horizont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P24"/>
  <sheetViews>
    <sheetView workbookViewId="0">
      <selection activeCell="L20" sqref="L20"/>
    </sheetView>
  </sheetViews>
  <sheetFormatPr baseColWidth="10" defaultRowHeight="15"/>
  <cols>
    <col min="4" max="4" width="4.7109375" bestFit="1" customWidth="1"/>
    <col min="10" max="10" width="23.7109375" bestFit="1" customWidth="1"/>
    <col min="11" max="11" width="4.85546875" bestFit="1" customWidth="1"/>
    <col min="12" max="12" width="8.42578125" bestFit="1" customWidth="1"/>
    <col min="13" max="13" width="8" bestFit="1" customWidth="1"/>
  </cols>
  <sheetData>
    <row r="1" spans="1:16" ht="17.25">
      <c r="K1" s="4" t="s">
        <v>32</v>
      </c>
      <c r="L1" t="s">
        <v>33</v>
      </c>
      <c r="M1">
        <v>264.17200000000003</v>
      </c>
      <c r="N1" t="s">
        <v>35</v>
      </c>
    </row>
    <row r="2" spans="1:16" ht="17.25">
      <c r="A2" t="s">
        <v>46</v>
      </c>
      <c r="H2" t="s">
        <v>41</v>
      </c>
      <c r="I2" s="3">
        <v>30</v>
      </c>
      <c r="K2" s="4" t="s">
        <v>34</v>
      </c>
      <c r="L2" t="s">
        <v>33</v>
      </c>
      <c r="M2" s="1">
        <v>0.25</v>
      </c>
    </row>
    <row r="3" spans="1:16">
      <c r="A3" t="s">
        <v>36</v>
      </c>
      <c r="D3" t="s">
        <v>37</v>
      </c>
      <c r="E3">
        <f>'STEAM SPEED IN PIPE'!K13</f>
        <v>1245.337957771668</v>
      </c>
      <c r="K3" t="s">
        <v>35</v>
      </c>
      <c r="L3" t="s">
        <v>33</v>
      </c>
      <c r="M3">
        <f>+M2*M1</f>
        <v>66.043000000000006</v>
      </c>
      <c r="N3" t="s">
        <v>35</v>
      </c>
    </row>
    <row r="4" spans="1:16">
      <c r="A4" t="s">
        <v>19</v>
      </c>
      <c r="D4" t="s">
        <v>20</v>
      </c>
      <c r="E4">
        <f>$M$3</f>
        <v>66.043000000000006</v>
      </c>
      <c r="H4" t="s">
        <v>39</v>
      </c>
      <c r="I4" s="3">
        <v>26</v>
      </c>
    </row>
    <row r="5" spans="1:16">
      <c r="A5" t="s">
        <v>21</v>
      </c>
      <c r="D5" t="s">
        <v>22</v>
      </c>
      <c r="E5" s="3">
        <v>1</v>
      </c>
      <c r="H5" t="s">
        <v>38</v>
      </c>
      <c r="I5" s="3">
        <v>100</v>
      </c>
    </row>
    <row r="6" spans="1:16" ht="18">
      <c r="A6" t="s">
        <v>23</v>
      </c>
      <c r="D6" s="4" t="s">
        <v>24</v>
      </c>
      <c r="E6" s="3">
        <v>1</v>
      </c>
      <c r="H6" s="5" t="s">
        <v>40</v>
      </c>
      <c r="I6" s="2">
        <f>+$I$5-$I$4</f>
        <v>74</v>
      </c>
    </row>
    <row r="7" spans="1:16">
      <c r="A7" t="s">
        <v>25</v>
      </c>
      <c r="D7" s="5" t="s">
        <v>27</v>
      </c>
      <c r="E7">
        <f>+$I$6*1.8+32</f>
        <v>165.20000000000002</v>
      </c>
    </row>
    <row r="8" spans="1:16">
      <c r="A8" t="s">
        <v>26</v>
      </c>
    </row>
    <row r="9" spans="1:16">
      <c r="A9" t="s">
        <v>28</v>
      </c>
      <c r="D9" t="s">
        <v>29</v>
      </c>
      <c r="E9" s="3">
        <v>912</v>
      </c>
    </row>
    <row r="10" spans="1:16">
      <c r="A10" t="s">
        <v>30</v>
      </c>
      <c r="D10" t="s">
        <v>31</v>
      </c>
      <c r="E10">
        <f>($E$4*$E$5*$E$6*$E$7*8.3)/($E$9*$E$3)</f>
        <v>7.9732037863379568E-2</v>
      </c>
    </row>
    <row r="11" spans="1:16">
      <c r="E11" s="30">
        <f>E10*60</f>
        <v>4.7839222718027745</v>
      </c>
      <c r="F11" t="s">
        <v>48</v>
      </c>
      <c r="M11" s="1">
        <v>4.18</v>
      </c>
      <c r="N11" t="s">
        <v>42</v>
      </c>
      <c r="O11" t="s">
        <v>43</v>
      </c>
      <c r="P11">
        <v>0.23884589663</v>
      </c>
    </row>
    <row r="12" spans="1:16">
      <c r="M12">
        <f>+M11*P11</f>
        <v>0.99837584791339995</v>
      </c>
      <c r="N12" t="s">
        <v>45</v>
      </c>
      <c r="O12" t="s">
        <v>44</v>
      </c>
    </row>
    <row r="13" spans="1:16">
      <c r="M13" s="1">
        <v>0</v>
      </c>
      <c r="N13" t="s">
        <v>45</v>
      </c>
      <c r="O13" t="s">
        <v>44</v>
      </c>
    </row>
    <row r="14" spans="1:16" ht="15.75" thickBot="1"/>
    <row r="15" spans="1:16">
      <c r="A15" s="19" t="s">
        <v>47</v>
      </c>
      <c r="B15" s="20"/>
      <c r="C15" s="21"/>
      <c r="D15" s="21"/>
      <c r="E15" s="21"/>
      <c r="F15" s="21"/>
      <c r="G15" s="21"/>
      <c r="H15" s="21"/>
      <c r="I15" s="22"/>
    </row>
    <row r="16" spans="1:16" ht="15.75" thickBot="1">
      <c r="A16" s="23" t="s">
        <v>36</v>
      </c>
      <c r="B16" s="17"/>
      <c r="C16" s="17"/>
      <c r="D16" s="17" t="s">
        <v>37</v>
      </c>
      <c r="E16" s="17">
        <f>($E$17*$E$18*$E$19*$E$20*8.3)/($E$22*$E$23)</f>
        <v>399.11884884792636</v>
      </c>
      <c r="F16" s="17"/>
      <c r="G16" s="17"/>
      <c r="H16" s="17"/>
      <c r="I16" s="24"/>
    </row>
    <row r="17" spans="1:14">
      <c r="A17" s="23" t="s">
        <v>19</v>
      </c>
      <c r="B17" s="17"/>
      <c r="C17" s="17"/>
      <c r="D17" s="17" t="s">
        <v>20</v>
      </c>
      <c r="E17" s="17">
        <f>$M$3</f>
        <v>66.043000000000006</v>
      </c>
      <c r="F17" s="17"/>
      <c r="G17" s="17"/>
      <c r="H17" s="17" t="s">
        <v>39</v>
      </c>
      <c r="I17" s="32">
        <v>30</v>
      </c>
      <c r="J17" s="6" t="s">
        <v>4</v>
      </c>
      <c r="K17" s="7"/>
      <c r="L17" s="7" t="e">
        <f>SQRT(($L$18*$L$20)/(3600*'STEAM SPEED IN PIPE'!$H$1*'STEAM JACKETED EQUIP.'!$L$19))*24</f>
        <v>#DIV/0!</v>
      </c>
      <c r="M17" s="7"/>
      <c r="N17" s="8"/>
    </row>
    <row r="18" spans="1:14">
      <c r="A18" s="23" t="s">
        <v>21</v>
      </c>
      <c r="B18" s="17"/>
      <c r="C18" s="17"/>
      <c r="D18" s="17" t="s">
        <v>22</v>
      </c>
      <c r="E18" s="3">
        <v>1</v>
      </c>
      <c r="F18" s="17"/>
      <c r="G18" s="17"/>
      <c r="H18" s="17" t="s">
        <v>38</v>
      </c>
      <c r="I18" s="32">
        <v>100</v>
      </c>
      <c r="J18" s="9" t="s">
        <v>5</v>
      </c>
      <c r="K18" s="10"/>
      <c r="L18" s="10">
        <f>$E$16</f>
        <v>399.11884884792636</v>
      </c>
      <c r="M18" s="10"/>
      <c r="N18" s="11" t="s">
        <v>9</v>
      </c>
    </row>
    <row r="19" spans="1:14" ht="18">
      <c r="A19" s="23" t="s">
        <v>23</v>
      </c>
      <c r="B19" s="17"/>
      <c r="C19" s="17"/>
      <c r="D19" s="25" t="s">
        <v>24</v>
      </c>
      <c r="E19" s="3">
        <v>1</v>
      </c>
      <c r="F19" s="17"/>
      <c r="G19" s="17"/>
      <c r="H19" s="26" t="s">
        <v>40</v>
      </c>
      <c r="I19" s="10">
        <f>+$I$18-$I$17</f>
        <v>70</v>
      </c>
      <c r="J19" s="9" t="s">
        <v>6</v>
      </c>
      <c r="K19" s="10"/>
      <c r="L19" s="12">
        <f>N19*3.280839895</f>
        <v>98.425196850000006</v>
      </c>
      <c r="M19" s="10" t="s">
        <v>8</v>
      </c>
      <c r="N19" s="33">
        <v>30</v>
      </c>
    </row>
    <row r="20" spans="1:14">
      <c r="A20" s="23" t="s">
        <v>25</v>
      </c>
      <c r="B20" s="17"/>
      <c r="C20" s="17"/>
      <c r="D20" s="26" t="s">
        <v>27</v>
      </c>
      <c r="E20" s="17">
        <f>+$I$19*1.8+32</f>
        <v>158</v>
      </c>
      <c r="F20" s="17"/>
      <c r="G20" s="17"/>
      <c r="H20" s="17"/>
      <c r="I20" s="17"/>
      <c r="J20" s="9" t="s">
        <v>7</v>
      </c>
      <c r="K20" s="10"/>
      <c r="L20" s="3">
        <v>7.82</v>
      </c>
      <c r="M20" s="10"/>
      <c r="N20" s="11"/>
    </row>
    <row r="21" spans="1:14" ht="15.75" thickBot="1">
      <c r="A21" s="23" t="s">
        <v>26</v>
      </c>
      <c r="B21" s="17"/>
      <c r="C21" s="17"/>
      <c r="D21" s="17"/>
      <c r="E21" s="17"/>
      <c r="F21" s="17"/>
      <c r="G21" s="17"/>
      <c r="H21" s="17"/>
      <c r="I21" s="17"/>
      <c r="J21" s="13" t="s">
        <v>1</v>
      </c>
      <c r="K21" s="14"/>
      <c r="L21" s="14"/>
      <c r="M21" s="14"/>
      <c r="N21" s="15"/>
    </row>
    <row r="22" spans="1:14">
      <c r="A22" s="23" t="s">
        <v>28</v>
      </c>
      <c r="B22" s="17"/>
      <c r="C22" s="17"/>
      <c r="D22" s="17" t="s">
        <v>29</v>
      </c>
      <c r="E22" s="3">
        <v>868</v>
      </c>
      <c r="F22" s="17"/>
      <c r="G22" s="17"/>
      <c r="H22" s="17"/>
      <c r="I22" s="24"/>
    </row>
    <row r="23" spans="1:14">
      <c r="A23" s="23" t="s">
        <v>30</v>
      </c>
      <c r="B23" s="17"/>
      <c r="C23" s="17"/>
      <c r="D23" s="17" t="s">
        <v>31</v>
      </c>
      <c r="E23" s="18">
        <f>$E$24/60</f>
        <v>0.25</v>
      </c>
      <c r="F23" s="17"/>
      <c r="G23" s="17"/>
      <c r="H23" s="17"/>
      <c r="I23" s="24"/>
    </row>
    <row r="24" spans="1:14" ht="15.75" thickBot="1">
      <c r="A24" s="27"/>
      <c r="B24" s="28"/>
      <c r="C24" s="28"/>
      <c r="D24" s="28"/>
      <c r="E24" s="31">
        <v>15</v>
      </c>
      <c r="F24" s="28" t="s">
        <v>48</v>
      </c>
      <c r="G24" s="28"/>
      <c r="H24" s="28"/>
      <c r="I24" s="29"/>
    </row>
  </sheetData>
  <sheetProtection password="DE94" sheet="1" objects="1" scenarios="1" selectLockedCells="1"/>
  <pageMargins left="0.7" right="0.7" top="0.75" bottom="0.75" header="0.3" footer="0.3"/>
  <pageSetup paperSize="9"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8"/>
  <sheetViews>
    <sheetView workbookViewId="0">
      <selection activeCell="L44" sqref="L44"/>
    </sheetView>
  </sheetViews>
  <sheetFormatPr baseColWidth="10" defaultRowHeight="15"/>
  <cols>
    <col min="1" max="1" width="3.7109375" style="2" bestFit="1" customWidth="1"/>
    <col min="2" max="4" width="11.42578125" style="2"/>
    <col min="5" max="5" width="4.28515625" style="2" bestFit="1" customWidth="1"/>
    <col min="6" max="6" width="8.5703125" style="2" bestFit="1" customWidth="1"/>
    <col min="7" max="8" width="11.42578125" style="2"/>
    <col min="9" max="9" width="2.5703125" style="2" customWidth="1"/>
    <col min="10" max="10" width="10.140625" style="2" bestFit="1" customWidth="1"/>
    <col min="11" max="11" width="17.85546875" style="2" customWidth="1"/>
    <col min="12" max="12" width="18.42578125" style="2" customWidth="1"/>
    <col min="13" max="13" width="2.140625" style="2" customWidth="1"/>
    <col min="14" max="14" width="10.140625" style="2" bestFit="1" customWidth="1"/>
    <col min="15" max="15" width="17.140625" style="2" customWidth="1"/>
    <col min="16" max="16" width="11.42578125" style="2"/>
    <col min="17" max="17" width="2.42578125" style="2" customWidth="1"/>
    <col min="18" max="18" width="10.140625" style="2" bestFit="1" customWidth="1"/>
    <col min="19" max="19" width="17.85546875" style="2" customWidth="1"/>
    <col min="20" max="20" width="21" style="2" customWidth="1"/>
    <col min="21" max="16384" width="11.42578125" style="2"/>
  </cols>
  <sheetData>
    <row r="1" spans="1:20">
      <c r="A1" s="301" t="s">
        <v>75</v>
      </c>
      <c r="B1" s="302"/>
      <c r="C1" s="302"/>
      <c r="D1" s="302"/>
      <c r="E1" s="302"/>
      <c r="F1" s="302"/>
      <c r="G1" s="302"/>
      <c r="H1" s="303"/>
    </row>
    <row r="2" spans="1:20">
      <c r="A2" s="54"/>
      <c r="B2" s="50"/>
      <c r="C2" s="50"/>
      <c r="D2" s="50"/>
      <c r="E2" s="50"/>
      <c r="F2" s="50"/>
      <c r="G2" s="50"/>
      <c r="H2" s="55" t="s">
        <v>9</v>
      </c>
    </row>
    <row r="3" spans="1:20" ht="15.75" thickBot="1">
      <c r="A3" s="9"/>
      <c r="B3" s="10"/>
      <c r="C3" s="10"/>
      <c r="D3" s="10"/>
      <c r="E3" s="51" t="s">
        <v>70</v>
      </c>
      <c r="F3" s="10" t="s">
        <v>71</v>
      </c>
      <c r="G3" s="10">
        <f>(G4*0.134)/(3600*B9*POWER((G5/24),2))</f>
        <v>6.0778504205147623</v>
      </c>
      <c r="H3" s="11">
        <f>+G3*0.3048</f>
        <v>1.8525288081728997</v>
      </c>
    </row>
    <row r="4" spans="1:20" ht="18.75" thickBot="1">
      <c r="A4" s="9"/>
      <c r="B4" s="10"/>
      <c r="C4" s="10"/>
      <c r="D4" s="10"/>
      <c r="E4" s="52" t="s">
        <v>69</v>
      </c>
      <c r="F4" s="10" t="s">
        <v>72</v>
      </c>
      <c r="G4" s="3">
        <v>980</v>
      </c>
      <c r="H4" s="11"/>
      <c r="J4" s="59" t="s">
        <v>78</v>
      </c>
      <c r="K4" s="60" t="s">
        <v>79</v>
      </c>
      <c r="L4" s="61" t="s">
        <v>80</v>
      </c>
      <c r="N4" s="59" t="s">
        <v>78</v>
      </c>
      <c r="O4" s="60" t="s">
        <v>79</v>
      </c>
      <c r="P4" s="61" t="s">
        <v>80</v>
      </c>
      <c r="R4" s="58" t="s">
        <v>78</v>
      </c>
      <c r="S4" s="62" t="s">
        <v>79</v>
      </c>
      <c r="T4" s="63" t="s">
        <v>80</v>
      </c>
    </row>
    <row r="5" spans="1:20" ht="15.75" thickBot="1">
      <c r="A5" s="9"/>
      <c r="B5" s="10"/>
      <c r="C5" s="10"/>
      <c r="D5" s="10"/>
      <c r="E5" s="10" t="s">
        <v>68</v>
      </c>
      <c r="F5" s="10" t="s">
        <v>73</v>
      </c>
      <c r="G5" s="3">
        <v>1.0489999999999999</v>
      </c>
      <c r="H5" s="11"/>
      <c r="J5" s="64" t="s">
        <v>81</v>
      </c>
      <c r="K5" s="65" t="s">
        <v>83</v>
      </c>
      <c r="L5" s="66">
        <v>50000</v>
      </c>
      <c r="N5" s="182" t="s">
        <v>81</v>
      </c>
      <c r="O5" s="183">
        <f>+$P$7*3600</f>
        <v>72000</v>
      </c>
      <c r="P5" s="184"/>
      <c r="R5" s="199" t="s">
        <v>81</v>
      </c>
      <c r="S5" s="200">
        <f>$T$13*219.97</f>
        <v>219.97</v>
      </c>
      <c r="T5" s="201"/>
    </row>
    <row r="6" spans="1:20" ht="18" thickBot="1">
      <c r="A6" s="9"/>
      <c r="B6" s="10"/>
      <c r="C6" s="10"/>
      <c r="D6" s="10"/>
      <c r="E6" s="10"/>
      <c r="F6" s="10"/>
      <c r="G6" s="10"/>
      <c r="H6" s="11"/>
      <c r="J6" s="67" t="s">
        <v>82</v>
      </c>
      <c r="K6" s="68">
        <f>+$L$5*0.0000446</f>
        <v>2.23</v>
      </c>
      <c r="L6" s="69"/>
      <c r="N6" s="185" t="s">
        <v>82</v>
      </c>
      <c r="O6" s="186">
        <f>+$P$7*0.16</f>
        <v>3.2</v>
      </c>
      <c r="P6" s="187"/>
      <c r="R6" s="202" t="s">
        <v>82</v>
      </c>
      <c r="S6" s="203">
        <f>$T$13*0.01</f>
        <v>0.01</v>
      </c>
      <c r="T6" s="204"/>
    </row>
    <row r="7" spans="1:20" ht="15.75" thickBot="1">
      <c r="A7" s="9"/>
      <c r="B7" s="10"/>
      <c r="C7" s="10"/>
      <c r="D7" s="10"/>
      <c r="E7" s="10"/>
      <c r="F7" s="10"/>
      <c r="G7" s="10"/>
      <c r="H7" s="11"/>
      <c r="J7" s="70" t="s">
        <v>84</v>
      </c>
      <c r="K7" s="71">
        <f>+$L$5*0.000278</f>
        <v>13.899999999999999</v>
      </c>
      <c r="L7" s="69"/>
      <c r="N7" s="188" t="s">
        <v>84</v>
      </c>
      <c r="O7" s="189" t="s">
        <v>83</v>
      </c>
      <c r="P7" s="190">
        <v>20</v>
      </c>
      <c r="R7" s="205" t="s">
        <v>84</v>
      </c>
      <c r="S7" s="203">
        <f>$T$13*0.06</f>
        <v>0.06</v>
      </c>
      <c r="T7" s="206"/>
    </row>
    <row r="8" spans="1:20" ht="15.75" thickBot="1">
      <c r="A8" s="13"/>
      <c r="B8" s="14"/>
      <c r="C8" s="14"/>
      <c r="D8" s="14"/>
      <c r="E8" s="14"/>
      <c r="F8" s="14"/>
      <c r="G8" s="14"/>
      <c r="H8" s="15"/>
      <c r="J8" s="70" t="s">
        <v>85</v>
      </c>
      <c r="K8" s="71">
        <f>+$L$5*0.00126</f>
        <v>63</v>
      </c>
      <c r="L8" s="69"/>
      <c r="N8" s="191" t="s">
        <v>85</v>
      </c>
      <c r="O8" s="192">
        <f>+$P$7*4.55</f>
        <v>91</v>
      </c>
      <c r="P8" s="193"/>
      <c r="R8" s="207" t="s">
        <v>85</v>
      </c>
      <c r="S8" s="203">
        <f>$T$13*0.28</f>
        <v>0.28000000000000003</v>
      </c>
      <c r="T8" s="208"/>
    </row>
    <row r="9" spans="1:20" ht="17.25">
      <c r="A9" s="2" t="s">
        <v>74</v>
      </c>
      <c r="B9" s="2">
        <f>PI()</f>
        <v>3.1415926535897931</v>
      </c>
      <c r="J9" s="72" t="s">
        <v>86</v>
      </c>
      <c r="K9" s="71">
        <f>+$L$5*0.0000758</f>
        <v>3.79</v>
      </c>
      <c r="L9" s="69"/>
      <c r="N9" s="194" t="s">
        <v>86</v>
      </c>
      <c r="O9" s="195">
        <f>+$P$7*0.27</f>
        <v>5.4</v>
      </c>
      <c r="P9" s="193"/>
      <c r="R9" s="202" t="s">
        <v>86</v>
      </c>
      <c r="S9" s="203">
        <f>$T$13*0.02</f>
        <v>0.02</v>
      </c>
      <c r="T9" s="208"/>
    </row>
    <row r="10" spans="1:20" ht="17.25">
      <c r="J10" s="72" t="s">
        <v>87</v>
      </c>
      <c r="K10" s="71">
        <f>+$L$5*0.00268</f>
        <v>134</v>
      </c>
      <c r="L10" s="69"/>
      <c r="N10" s="194" t="s">
        <v>87</v>
      </c>
      <c r="O10" s="195">
        <f>+$P$7*9.63</f>
        <v>192.60000000000002</v>
      </c>
      <c r="P10" s="193"/>
      <c r="R10" s="202" t="s">
        <v>87</v>
      </c>
      <c r="S10" s="203">
        <f>$T$13*0.59</f>
        <v>0.59</v>
      </c>
      <c r="T10" s="208"/>
    </row>
    <row r="11" spans="1:20">
      <c r="J11" s="72" t="s">
        <v>88</v>
      </c>
      <c r="K11" s="71">
        <f>+$L$5*0.02</f>
        <v>1000</v>
      </c>
      <c r="L11" s="69"/>
      <c r="N11" s="194" t="s">
        <v>88</v>
      </c>
      <c r="O11" s="195">
        <f>+$P$7*60</f>
        <v>1200</v>
      </c>
      <c r="P11" s="193"/>
      <c r="R11" s="202" t="s">
        <v>88</v>
      </c>
      <c r="S11" s="203">
        <f>$T$13*3.67</f>
        <v>3.67</v>
      </c>
      <c r="T11" s="208"/>
    </row>
    <row r="12" spans="1:20" ht="15.75" thickBot="1">
      <c r="J12" s="72" t="s">
        <v>89</v>
      </c>
      <c r="K12" s="71">
        <f>+$L$5*0.08</f>
        <v>4000</v>
      </c>
      <c r="L12" s="69"/>
      <c r="N12" s="194" t="s">
        <v>89</v>
      </c>
      <c r="O12" s="195">
        <f>+$P$7*272.77</f>
        <v>5455.4</v>
      </c>
      <c r="P12" s="193"/>
      <c r="R12" s="209" t="s">
        <v>89</v>
      </c>
      <c r="S12" s="210">
        <f>$T$13*16.67</f>
        <v>16.670000000000002</v>
      </c>
      <c r="T12" s="208"/>
    </row>
    <row r="13" spans="1:20" ht="18" thickBot="1">
      <c r="A13" s="304" t="s">
        <v>76</v>
      </c>
      <c r="B13" s="305"/>
      <c r="C13" s="305"/>
      <c r="D13" s="305"/>
      <c r="E13" s="305"/>
      <c r="F13" s="305"/>
      <c r="G13" s="305"/>
      <c r="H13" s="306"/>
      <c r="J13" s="72" t="s">
        <v>90</v>
      </c>
      <c r="K13" s="71">
        <f>+$L$5*0.00455</f>
        <v>227.5</v>
      </c>
      <c r="L13" s="69"/>
      <c r="N13" s="194" t="s">
        <v>90</v>
      </c>
      <c r="O13" s="195">
        <f>+$P$7*16.37</f>
        <v>327.40000000000003</v>
      </c>
      <c r="P13" s="193"/>
      <c r="R13" s="211" t="s">
        <v>94</v>
      </c>
      <c r="S13" s="212" t="s">
        <v>83</v>
      </c>
      <c r="T13" s="213">
        <v>1</v>
      </c>
    </row>
    <row r="14" spans="1:20" ht="17.25">
      <c r="A14" s="56"/>
      <c r="B14" s="53"/>
      <c r="C14" s="53"/>
      <c r="D14" s="53"/>
      <c r="E14" s="53"/>
      <c r="F14" s="53"/>
      <c r="G14" s="53"/>
      <c r="H14" s="57" t="s">
        <v>9</v>
      </c>
      <c r="J14" s="72" t="s">
        <v>91</v>
      </c>
      <c r="K14" s="71">
        <f>+$L$5*0.16</f>
        <v>8000</v>
      </c>
      <c r="L14" s="69"/>
      <c r="N14" s="194" t="s">
        <v>91</v>
      </c>
      <c r="O14" s="195">
        <f>+$P$7*577.96</f>
        <v>11559.2</v>
      </c>
      <c r="P14" s="193"/>
      <c r="R14" s="214" t="s">
        <v>91</v>
      </c>
      <c r="S14" s="215">
        <f>$T$13*35.31</f>
        <v>35.31</v>
      </c>
      <c r="T14" s="208"/>
    </row>
    <row r="15" spans="1:20" ht="15.75" thickBot="1">
      <c r="A15" s="9"/>
      <c r="B15" s="10"/>
      <c r="C15" s="10"/>
      <c r="D15" s="10"/>
      <c r="E15" s="51" t="s">
        <v>70</v>
      </c>
      <c r="F15" s="10" t="s">
        <v>71</v>
      </c>
      <c r="G15" s="10">
        <f>+H15/0.3048</f>
        <v>6.561679790026246</v>
      </c>
      <c r="H15" s="3">
        <v>2</v>
      </c>
      <c r="J15" s="73" t="s">
        <v>92</v>
      </c>
      <c r="K15" s="74">
        <f>+$L$5*4.55</f>
        <v>227500</v>
      </c>
      <c r="L15" s="69"/>
      <c r="N15" s="196" t="s">
        <v>92</v>
      </c>
      <c r="O15" s="197">
        <f>+$P$7*16365.92</f>
        <v>327318.40000000002</v>
      </c>
      <c r="P15" s="198"/>
      <c r="R15" s="216" t="s">
        <v>92</v>
      </c>
      <c r="S15" s="217">
        <f>$T$13*1000</f>
        <v>1000</v>
      </c>
      <c r="T15" s="218"/>
    </row>
    <row r="16" spans="1:20" ht="18.75" thickBot="1">
      <c r="A16" s="9"/>
      <c r="B16" s="10"/>
      <c r="C16" s="10"/>
      <c r="D16" s="10"/>
      <c r="E16" s="52" t="s">
        <v>69</v>
      </c>
      <c r="F16" s="10" t="s">
        <v>72</v>
      </c>
      <c r="G16" s="3">
        <v>3840</v>
      </c>
      <c r="H16" s="11"/>
      <c r="J16" s="75" t="s">
        <v>81</v>
      </c>
      <c r="K16" s="76">
        <f>+$L$17*22423.81</f>
        <v>448476.2</v>
      </c>
      <c r="L16" s="77"/>
      <c r="N16" s="166" t="s">
        <v>81</v>
      </c>
      <c r="O16" s="167">
        <f>+$P$19*791.89</f>
        <v>890.87625000000003</v>
      </c>
      <c r="P16" s="168"/>
      <c r="R16" s="219" t="s">
        <v>81</v>
      </c>
      <c r="S16" s="220">
        <f>$T$25*6.23</f>
        <v>6.23</v>
      </c>
      <c r="T16" s="221"/>
    </row>
    <row r="17" spans="1:20" ht="18" thickBot="1">
      <c r="A17" s="13"/>
      <c r="B17" s="14"/>
      <c r="C17" s="14"/>
      <c r="D17" s="14"/>
      <c r="E17" s="14" t="s">
        <v>68</v>
      </c>
      <c r="F17" s="14" t="s">
        <v>73</v>
      </c>
      <c r="G17" s="14">
        <f>SQRT((0.134*G16)/(3600*PI()*G15))*24</f>
        <v>1.9984604129896819</v>
      </c>
      <c r="H17" s="15"/>
      <c r="J17" s="78" t="s">
        <v>93</v>
      </c>
      <c r="K17" s="79" t="s">
        <v>83</v>
      </c>
      <c r="L17" s="80">
        <v>20</v>
      </c>
      <c r="N17" s="169" t="s">
        <v>82</v>
      </c>
      <c r="O17" s="170">
        <f>+$P$19*0.04</f>
        <v>4.4999999999999998E-2</v>
      </c>
      <c r="P17" s="171"/>
      <c r="R17" s="222" t="s">
        <v>82</v>
      </c>
      <c r="S17" s="223">
        <f>$T$25*0.000278</f>
        <v>2.7799999999999998E-4</v>
      </c>
      <c r="T17" s="224"/>
    </row>
    <row r="18" spans="1:20" ht="15.75" thickBot="1">
      <c r="J18" s="81" t="s">
        <v>84</v>
      </c>
      <c r="K18" s="82">
        <f>+$L$17*6.23</f>
        <v>124.60000000000001</v>
      </c>
      <c r="L18" s="83"/>
      <c r="N18" s="172" t="s">
        <v>84</v>
      </c>
      <c r="O18" s="173">
        <f>+$P$19*0.22</f>
        <v>0.2475</v>
      </c>
      <c r="P18" s="174"/>
      <c r="R18" s="225" t="s">
        <v>84</v>
      </c>
      <c r="S18" s="223">
        <f>$T$25*0.00173</f>
        <v>1.73E-3</v>
      </c>
      <c r="T18" s="226"/>
    </row>
    <row r="19" spans="1:20" ht="15.75" thickBot="1">
      <c r="A19" s="304" t="s">
        <v>77</v>
      </c>
      <c r="B19" s="305"/>
      <c r="C19" s="305"/>
      <c r="D19" s="305"/>
      <c r="E19" s="305"/>
      <c r="F19" s="305"/>
      <c r="G19" s="305"/>
      <c r="H19" s="306"/>
      <c r="J19" s="84" t="s">
        <v>85</v>
      </c>
      <c r="K19" s="85">
        <f>+$L$17*28.32</f>
        <v>566.4</v>
      </c>
      <c r="L19" s="83"/>
      <c r="N19" s="175" t="s">
        <v>85</v>
      </c>
      <c r="O19" s="176" t="s">
        <v>83</v>
      </c>
      <c r="P19" s="177">
        <v>1.125</v>
      </c>
      <c r="R19" s="227" t="s">
        <v>85</v>
      </c>
      <c r="S19" s="223">
        <f>$T$25*0.01</f>
        <v>0.01</v>
      </c>
      <c r="T19" s="228"/>
    </row>
    <row r="20" spans="1:20" ht="17.25">
      <c r="A20" s="56"/>
      <c r="B20" s="53"/>
      <c r="C20" s="53"/>
      <c r="D20" s="53"/>
      <c r="E20" s="53"/>
      <c r="F20" s="53"/>
      <c r="G20" s="53"/>
      <c r="H20" s="57" t="s">
        <v>9</v>
      </c>
      <c r="J20" s="86" t="s">
        <v>86</v>
      </c>
      <c r="K20" s="85">
        <f>+$L$17*1.7</f>
        <v>34</v>
      </c>
      <c r="L20" s="83"/>
      <c r="N20" s="178" t="s">
        <v>86</v>
      </c>
      <c r="O20" s="179">
        <f>+$P$19*0.06</f>
        <v>6.7500000000000004E-2</v>
      </c>
      <c r="P20" s="174"/>
      <c r="R20" s="222" t="s">
        <v>86</v>
      </c>
      <c r="S20" s="223">
        <f>$T$25*0.000472</f>
        <v>4.7199999999999998E-4</v>
      </c>
      <c r="T20" s="226"/>
    </row>
    <row r="21" spans="1:20" ht="17.25">
      <c r="A21" s="9"/>
      <c r="B21" s="10"/>
      <c r="C21" s="10"/>
      <c r="D21" s="10"/>
      <c r="E21" s="51" t="s">
        <v>70</v>
      </c>
      <c r="F21" s="10" t="s">
        <v>71</v>
      </c>
      <c r="G21" s="10">
        <f>+H21/0.3048</f>
        <v>6.561679790026246</v>
      </c>
      <c r="H21" s="3">
        <v>2</v>
      </c>
      <c r="J21" s="86" t="s">
        <v>87</v>
      </c>
      <c r="K21" s="85">
        <f>+$L$17*60</f>
        <v>1200</v>
      </c>
      <c r="L21" s="83"/>
      <c r="N21" s="169" t="s">
        <v>87</v>
      </c>
      <c r="O21" s="170">
        <f>+$P$19*2.12</f>
        <v>2.3850000000000002</v>
      </c>
      <c r="P21" s="174"/>
      <c r="R21" s="222" t="s">
        <v>87</v>
      </c>
      <c r="S21" s="223">
        <f>$T$25*0.02</f>
        <v>0.02</v>
      </c>
      <c r="T21" s="226"/>
    </row>
    <row r="22" spans="1:20" ht="18">
      <c r="A22" s="9"/>
      <c r="B22" s="10"/>
      <c r="C22" s="10"/>
      <c r="D22" s="10"/>
      <c r="E22" s="52" t="s">
        <v>69</v>
      </c>
      <c r="F22" s="10" t="s">
        <v>72</v>
      </c>
      <c r="G22" s="10">
        <f>(G21*3600*PI()*POWER((G23/24),2))/0.134</f>
        <v>1058.0132364759804</v>
      </c>
      <c r="H22" s="11"/>
      <c r="J22" s="86" t="s">
        <v>88</v>
      </c>
      <c r="K22" s="85">
        <f>+$L$17*373.73</f>
        <v>7474.6</v>
      </c>
      <c r="L22" s="83"/>
      <c r="N22" s="169" t="s">
        <v>88</v>
      </c>
      <c r="O22" s="170">
        <f>+$P$19*13.2</f>
        <v>14.85</v>
      </c>
      <c r="P22" s="174"/>
      <c r="R22" s="222" t="s">
        <v>88</v>
      </c>
      <c r="S22" s="223">
        <f>$T$25*0.1</f>
        <v>0.1</v>
      </c>
      <c r="T22" s="226"/>
    </row>
    <row r="23" spans="1:20" ht="15.75" thickBot="1">
      <c r="A23" s="13"/>
      <c r="B23" s="14"/>
      <c r="C23" s="14"/>
      <c r="D23" s="14"/>
      <c r="E23" s="14" t="s">
        <v>68</v>
      </c>
      <c r="F23" s="14" t="s">
        <v>73</v>
      </c>
      <c r="G23" s="3">
        <v>1.0489999999999999</v>
      </c>
      <c r="H23" s="15"/>
      <c r="J23" s="86" t="s">
        <v>89</v>
      </c>
      <c r="K23" s="85">
        <f>+$L$17*1699.01</f>
        <v>33980.199999999997</v>
      </c>
      <c r="L23" s="83"/>
      <c r="N23" s="169" t="s">
        <v>89</v>
      </c>
      <c r="O23" s="170">
        <f>+$P$19*60</f>
        <v>67.5</v>
      </c>
      <c r="P23" s="174"/>
      <c r="R23" s="222" t="s">
        <v>89</v>
      </c>
      <c r="S23" s="223">
        <f>$T$25*0.47</f>
        <v>0.47</v>
      </c>
      <c r="T23" s="226"/>
    </row>
    <row r="24" spans="1:20" ht="18" thickBot="1">
      <c r="J24" s="86" t="s">
        <v>90</v>
      </c>
      <c r="K24" s="85">
        <f>+$L$17*101.94</f>
        <v>2038.8</v>
      </c>
      <c r="L24" s="83"/>
      <c r="N24" s="169" t="s">
        <v>90</v>
      </c>
      <c r="O24" s="170">
        <f>+$P$19*3.6</f>
        <v>4.05</v>
      </c>
      <c r="P24" s="174"/>
      <c r="R24" s="229" t="s">
        <v>90</v>
      </c>
      <c r="S24" s="230">
        <f>$T$25*0.03</f>
        <v>0.03</v>
      </c>
      <c r="T24" s="226"/>
    </row>
    <row r="25" spans="1:20" ht="18" thickBot="1">
      <c r="J25" s="86" t="s">
        <v>91</v>
      </c>
      <c r="K25" s="85">
        <f>+$L$17*3600</f>
        <v>72000</v>
      </c>
      <c r="L25" s="83"/>
      <c r="N25" s="169" t="s">
        <v>91</v>
      </c>
      <c r="O25" s="170">
        <f>+$P$19*127.13</f>
        <v>143.02125000000001</v>
      </c>
      <c r="P25" s="174"/>
      <c r="R25" s="231" t="s">
        <v>95</v>
      </c>
      <c r="S25" s="232" t="s">
        <v>83</v>
      </c>
      <c r="T25" s="233">
        <v>1</v>
      </c>
    </row>
    <row r="26" spans="1:20" ht="15.75" thickBot="1">
      <c r="J26" s="87" t="s">
        <v>92</v>
      </c>
      <c r="K26" s="88">
        <f>+$L$17*101940.65</f>
        <v>2038813</v>
      </c>
      <c r="L26" s="89"/>
      <c r="N26" s="180" t="s">
        <v>92</v>
      </c>
      <c r="O26" s="181">
        <f>+$P$19*3600</f>
        <v>4050</v>
      </c>
      <c r="P26" s="174"/>
      <c r="R26" s="234" t="s">
        <v>92</v>
      </c>
      <c r="S26" s="235">
        <f>$T$25*28.32</f>
        <v>28.32</v>
      </c>
      <c r="T26" s="236"/>
    </row>
    <row r="27" spans="1:20">
      <c r="J27" s="90" t="s">
        <v>81</v>
      </c>
      <c r="K27" s="91">
        <f>+$L$31*13198.15</f>
        <v>13198150</v>
      </c>
      <c r="L27" s="92"/>
      <c r="N27" s="146" t="s">
        <v>81</v>
      </c>
      <c r="O27" s="147">
        <f>+$P$32*373.73</f>
        <v>373.73</v>
      </c>
      <c r="P27" s="148"/>
      <c r="R27" s="237" t="s">
        <v>81</v>
      </c>
      <c r="S27" s="238">
        <f>$T$37*0.22</f>
        <v>0.22</v>
      </c>
      <c r="T27" s="239"/>
    </row>
    <row r="28" spans="1:20" ht="17.25">
      <c r="J28" s="93" t="s">
        <v>82</v>
      </c>
      <c r="K28" s="94">
        <f>+$L$31*0.59</f>
        <v>590</v>
      </c>
      <c r="L28" s="95"/>
      <c r="N28" s="149" t="s">
        <v>82</v>
      </c>
      <c r="O28" s="150">
        <f>+$P$32*0.02</f>
        <v>0.02</v>
      </c>
      <c r="P28" s="151"/>
      <c r="R28" s="240" t="s">
        <v>82</v>
      </c>
      <c r="S28" s="241">
        <f>$T$37*0.00000981</f>
        <v>9.8099999999999992E-6</v>
      </c>
      <c r="T28" s="242"/>
    </row>
    <row r="29" spans="1:20">
      <c r="J29" s="96" t="s">
        <v>84</v>
      </c>
      <c r="K29" s="94">
        <f>+$L$31*3.67</f>
        <v>3670</v>
      </c>
      <c r="L29" s="97"/>
      <c r="N29" s="152" t="s">
        <v>84</v>
      </c>
      <c r="O29" s="150">
        <f>+$P$32*0.1</f>
        <v>0.1</v>
      </c>
      <c r="P29" s="153"/>
      <c r="R29" s="243" t="s">
        <v>84</v>
      </c>
      <c r="S29" s="241">
        <f>$T$37*0.0000611</f>
        <v>6.1099999999999994E-5</v>
      </c>
      <c r="T29" s="244"/>
    </row>
    <row r="30" spans="1:20" ht="15.75" thickBot="1">
      <c r="J30" s="98" t="s">
        <v>85</v>
      </c>
      <c r="K30" s="99">
        <f>+$L$31*16.67</f>
        <v>16670</v>
      </c>
      <c r="L30" s="97"/>
      <c r="N30" s="154" t="s">
        <v>85</v>
      </c>
      <c r="O30" s="150">
        <f>+$P$32*0.47</f>
        <v>0.47</v>
      </c>
      <c r="P30" s="155"/>
      <c r="R30" s="245" t="s">
        <v>85</v>
      </c>
      <c r="S30" s="241">
        <f>$T$37*0.000278</f>
        <v>2.7799999999999998E-4</v>
      </c>
      <c r="T30" s="246"/>
    </row>
    <row r="31" spans="1:20" ht="18" thickBot="1">
      <c r="J31" s="100" t="s">
        <v>96</v>
      </c>
      <c r="K31" s="101" t="s">
        <v>83</v>
      </c>
      <c r="L31" s="102">
        <v>1000</v>
      </c>
      <c r="N31" s="156" t="s">
        <v>86</v>
      </c>
      <c r="O31" s="157">
        <f>+$P$32*0.03</f>
        <v>0.03</v>
      </c>
      <c r="P31" s="153"/>
      <c r="R31" s="240" t="s">
        <v>86</v>
      </c>
      <c r="S31" s="241">
        <f>$T$37*0.0000167</f>
        <v>1.6699999999999999E-5</v>
      </c>
      <c r="T31" s="244"/>
    </row>
    <row r="32" spans="1:20" ht="18" thickBot="1">
      <c r="J32" s="103" t="s">
        <v>87</v>
      </c>
      <c r="K32" s="104">
        <f>+$L$31*35.31</f>
        <v>35310</v>
      </c>
      <c r="L32" s="97"/>
      <c r="N32" s="158" t="s">
        <v>97</v>
      </c>
      <c r="O32" s="159" t="s">
        <v>83</v>
      </c>
      <c r="P32" s="160">
        <v>1</v>
      </c>
      <c r="R32" s="240" t="s">
        <v>87</v>
      </c>
      <c r="S32" s="241">
        <f>$T$37*0.000589</f>
        <v>5.8900000000000001E-4</v>
      </c>
      <c r="T32" s="244"/>
    </row>
    <row r="33" spans="10:20">
      <c r="J33" s="93" t="s">
        <v>88</v>
      </c>
      <c r="K33" s="94">
        <f>+$L$31*219.97</f>
        <v>219970</v>
      </c>
      <c r="L33" s="97"/>
      <c r="N33" s="161" t="s">
        <v>88</v>
      </c>
      <c r="O33" s="162">
        <f>+$P$32*6.23</f>
        <v>6.23</v>
      </c>
      <c r="P33" s="153"/>
      <c r="R33" s="240" t="s">
        <v>88</v>
      </c>
      <c r="S33" s="241">
        <f>$T$37*0.00367</f>
        <v>3.6700000000000001E-3</v>
      </c>
      <c r="T33" s="244"/>
    </row>
    <row r="34" spans="10:20">
      <c r="J34" s="93" t="s">
        <v>89</v>
      </c>
      <c r="K34" s="94">
        <f>+$L$31*1000</f>
        <v>1000000</v>
      </c>
      <c r="L34" s="97"/>
      <c r="N34" s="149" t="s">
        <v>89</v>
      </c>
      <c r="O34" s="150">
        <f>+$P$32*28.32</f>
        <v>28.32</v>
      </c>
      <c r="P34" s="153"/>
      <c r="R34" s="240" t="s">
        <v>89</v>
      </c>
      <c r="S34" s="241">
        <f>$T$37*0.02</f>
        <v>0.02</v>
      </c>
      <c r="T34" s="244"/>
    </row>
    <row r="35" spans="10:20" ht="17.25">
      <c r="J35" s="93" t="s">
        <v>90</v>
      </c>
      <c r="K35" s="94">
        <f>+$L$31*60</f>
        <v>60000</v>
      </c>
      <c r="L35" s="97"/>
      <c r="N35" s="149" t="s">
        <v>90</v>
      </c>
      <c r="O35" s="150">
        <f>+$P$32*1.7</f>
        <v>1.7</v>
      </c>
      <c r="P35" s="153"/>
      <c r="R35" s="240" t="s">
        <v>90</v>
      </c>
      <c r="S35" s="241">
        <f>$T$37*0.001</f>
        <v>1E-3</v>
      </c>
      <c r="T35" s="244"/>
    </row>
    <row r="36" spans="10:20" ht="18" thickBot="1">
      <c r="J36" s="93" t="s">
        <v>91</v>
      </c>
      <c r="K36" s="94">
        <f>+$L$31*2118.88</f>
        <v>2118880</v>
      </c>
      <c r="L36" s="97"/>
      <c r="N36" s="149" t="s">
        <v>91</v>
      </c>
      <c r="O36" s="150">
        <f>+$P$32*60</f>
        <v>60</v>
      </c>
      <c r="P36" s="153"/>
      <c r="R36" s="247" t="s">
        <v>91</v>
      </c>
      <c r="S36" s="248">
        <f>$T$37*0.04</f>
        <v>0.04</v>
      </c>
      <c r="T36" s="244"/>
    </row>
    <row r="37" spans="10:20" ht="15.75" thickBot="1">
      <c r="J37" s="105" t="s">
        <v>92</v>
      </c>
      <c r="K37" s="106">
        <f>+$L$31*60000</f>
        <v>60000000</v>
      </c>
      <c r="L37" s="107"/>
      <c r="N37" s="163" t="s">
        <v>92</v>
      </c>
      <c r="O37" s="164">
        <f>+$P$32*1699.01</f>
        <v>1699.01</v>
      </c>
      <c r="P37" s="165"/>
      <c r="R37" s="249" t="s">
        <v>92</v>
      </c>
      <c r="S37" s="250" t="s">
        <v>83</v>
      </c>
      <c r="T37" s="251">
        <v>1</v>
      </c>
    </row>
    <row r="38" spans="10:20">
      <c r="J38" s="108" t="s">
        <v>81</v>
      </c>
      <c r="K38" s="109">
        <f>$L$44*60</f>
        <v>1533.7013999999999</v>
      </c>
      <c r="L38" s="110"/>
      <c r="N38" s="126" t="s">
        <v>81</v>
      </c>
      <c r="O38" s="127">
        <f>$P$45*13.2</f>
        <v>13.2</v>
      </c>
      <c r="P38" s="128"/>
    </row>
    <row r="39" spans="10:20" ht="17.25">
      <c r="J39" s="111" t="s">
        <v>82</v>
      </c>
      <c r="K39" s="112">
        <f>$L$44*0.00268</f>
        <v>6.8505329199999992E-2</v>
      </c>
      <c r="L39" s="113"/>
      <c r="N39" s="129" t="s">
        <v>82</v>
      </c>
      <c r="O39" s="130">
        <f>$P$45*0.000589</f>
        <v>5.8900000000000001E-4</v>
      </c>
      <c r="P39" s="131"/>
    </row>
    <row r="40" spans="10:20">
      <c r="J40" s="114" t="s">
        <v>84</v>
      </c>
      <c r="K40" s="112">
        <f>$L$44*0.02</f>
        <v>0.51123379999999996</v>
      </c>
      <c r="L40" s="115"/>
      <c r="N40" s="132" t="s">
        <v>84</v>
      </c>
      <c r="O40" s="130">
        <f>$P$45*0.00367</f>
        <v>3.6700000000000001E-3</v>
      </c>
      <c r="P40" s="133"/>
    </row>
    <row r="41" spans="10:20">
      <c r="J41" s="114" t="s">
        <v>85</v>
      </c>
      <c r="K41" s="112">
        <f>$L$44*0.08</f>
        <v>2.0449351999999998</v>
      </c>
      <c r="L41" s="115"/>
      <c r="N41" s="134" t="s">
        <v>85</v>
      </c>
      <c r="O41" s="130">
        <f>$P$45*0.02</f>
        <v>0.02</v>
      </c>
      <c r="P41" s="135"/>
    </row>
    <row r="42" spans="10:20" ht="17.25">
      <c r="J42" s="111" t="s">
        <v>86</v>
      </c>
      <c r="K42" s="112">
        <f>$L$44*0.00455</f>
        <v>0.1163056895</v>
      </c>
      <c r="L42" s="115"/>
      <c r="N42" s="129" t="s">
        <v>86</v>
      </c>
      <c r="O42" s="130">
        <f>$P$45*0.001</f>
        <v>1E-3</v>
      </c>
      <c r="P42" s="133"/>
    </row>
    <row r="43" spans="10:20" ht="18" thickBot="1">
      <c r="J43" s="116" t="s">
        <v>87</v>
      </c>
      <c r="K43" s="117">
        <f>$L$44*0.16</f>
        <v>4.0898703999999997</v>
      </c>
      <c r="L43" s="115"/>
      <c r="N43" s="129" t="s">
        <v>87</v>
      </c>
      <c r="O43" s="130">
        <f>$P$45*0.04</f>
        <v>0.04</v>
      </c>
      <c r="P43" s="133"/>
    </row>
    <row r="44" spans="10:20" ht="15.75" thickBot="1">
      <c r="J44" s="118" t="s">
        <v>88</v>
      </c>
      <c r="K44" s="119" t="s">
        <v>83</v>
      </c>
      <c r="L44" s="120">
        <v>25.561689999999999</v>
      </c>
      <c r="N44" s="136" t="s">
        <v>88</v>
      </c>
      <c r="O44" s="137">
        <f>$P$45*0.22</f>
        <v>0.22</v>
      </c>
      <c r="P44" s="133"/>
    </row>
    <row r="45" spans="10:20" ht="15.75" thickBot="1">
      <c r="J45" s="121" t="s">
        <v>89</v>
      </c>
      <c r="K45" s="122">
        <f>$L$44*4.55</f>
        <v>116.30568949999999</v>
      </c>
      <c r="L45" s="115"/>
      <c r="N45" s="138" t="s">
        <v>89</v>
      </c>
      <c r="O45" s="139" t="s">
        <v>83</v>
      </c>
      <c r="P45" s="140">
        <v>1</v>
      </c>
    </row>
    <row r="46" spans="10:20" ht="17.25">
      <c r="J46" s="111" t="s">
        <v>90</v>
      </c>
      <c r="K46" s="112">
        <f>$L$44*0.27</f>
        <v>6.9016563</v>
      </c>
      <c r="L46" s="115"/>
      <c r="N46" s="141" t="s">
        <v>90</v>
      </c>
      <c r="O46" s="142">
        <f>$P$45*0.06</f>
        <v>0.06</v>
      </c>
      <c r="P46" s="133"/>
    </row>
    <row r="47" spans="10:20" ht="17.25">
      <c r="J47" s="111" t="s">
        <v>91</v>
      </c>
      <c r="K47" s="112">
        <f>$L$44*9.63</f>
        <v>246.15907470000002</v>
      </c>
      <c r="L47" s="115"/>
      <c r="N47" s="129" t="s">
        <v>91</v>
      </c>
      <c r="O47" s="130">
        <f>$P$45*2.12</f>
        <v>2.12</v>
      </c>
      <c r="P47" s="133"/>
    </row>
    <row r="48" spans="10:20" ht="15.75" thickBot="1">
      <c r="J48" s="123" t="s">
        <v>92</v>
      </c>
      <c r="K48" s="124">
        <f>$L$44*272.77</f>
        <v>6972.4621812999994</v>
      </c>
      <c r="L48" s="125"/>
      <c r="N48" s="143" t="s">
        <v>92</v>
      </c>
      <c r="O48" s="144">
        <f>$P$45*60</f>
        <v>60</v>
      </c>
      <c r="P48" s="145"/>
    </row>
  </sheetData>
  <sheetProtection password="DE94" sheet="1" objects="1" scenarios="1" selectLockedCells="1"/>
  <mergeCells count="3">
    <mergeCell ref="A1:H1"/>
    <mergeCell ref="A13:H13"/>
    <mergeCell ref="A19:H19"/>
  </mergeCells>
  <pageMargins left="0.7" right="0.7" top="0.75" bottom="0.75" header="0.3" footer="0.3"/>
  <pageSetup paperSize="9" orientation="portrait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workbookViewId="0">
      <selection activeCell="G20" sqref="G20"/>
    </sheetView>
  </sheetViews>
  <sheetFormatPr baseColWidth="10" defaultRowHeight="15"/>
  <cols>
    <col min="6" max="6" width="5.28515625" customWidth="1"/>
  </cols>
  <sheetData>
    <row r="1" spans="1:10">
      <c r="A1" t="s">
        <v>98</v>
      </c>
    </row>
    <row r="6" spans="1:10">
      <c r="I6" t="s">
        <v>10</v>
      </c>
    </row>
    <row r="7" spans="1:10">
      <c r="G7" s="252">
        <f>(G16*G18*G14)/(G10*G20)</f>
        <v>0.36306355410318047</v>
      </c>
      <c r="I7">
        <f>+G7*2.20462*3600</f>
        <v>2881.5018215290334</v>
      </c>
    </row>
    <row r="10" spans="1:10">
      <c r="G10" s="3">
        <v>2013.56</v>
      </c>
      <c r="I10" s="1" t="s">
        <v>101</v>
      </c>
    </row>
    <row r="13" spans="1:10" ht="18">
      <c r="I13" s="253" t="s">
        <v>100</v>
      </c>
      <c r="J13" s="253" t="s">
        <v>99</v>
      </c>
    </row>
    <row r="14" spans="1:10">
      <c r="G14" s="252">
        <f>+J14-I14</f>
        <v>70</v>
      </c>
      <c r="I14" s="3">
        <v>25</v>
      </c>
      <c r="J14" s="3">
        <v>95</v>
      </c>
    </row>
    <row r="16" spans="1:10">
      <c r="G16" s="3">
        <v>5982</v>
      </c>
    </row>
    <row r="18" spans="1:7">
      <c r="G18" s="3">
        <v>4.1900000000000004</v>
      </c>
    </row>
    <row r="20" spans="1:7">
      <c r="A20" s="17"/>
      <c r="B20" s="17"/>
      <c r="C20" s="17"/>
      <c r="D20" s="17"/>
      <c r="E20" s="17"/>
      <c r="F20" s="17"/>
      <c r="G20" s="3">
        <v>2400</v>
      </c>
    </row>
  </sheetData>
  <sheetProtection password="DE94" sheet="1" objects="1" scenarios="1" selectLockedCells="1"/>
  <pageMargins left="0.7" right="0.7" top="0.75" bottom="0.75" header="0.3" footer="0.3"/>
  <pageSetup paperSize="9" orientation="portrait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8"/>
  <sheetViews>
    <sheetView workbookViewId="0">
      <selection activeCell="A10" sqref="A10"/>
    </sheetView>
  </sheetViews>
  <sheetFormatPr baseColWidth="10" defaultRowHeight="15"/>
  <sheetData>
    <row r="1" spans="1:1">
      <c r="A1" t="s">
        <v>102</v>
      </c>
    </row>
    <row r="8" spans="1:1">
      <c r="A8" t="s">
        <v>103</v>
      </c>
    </row>
  </sheetData>
  <sheetProtection password="DE94" sheet="1" objects="1" scenarios="1" selectLockedCell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topLeftCell="A13" workbookViewId="0">
      <selection activeCell="A18" sqref="A13:C18"/>
    </sheetView>
  </sheetViews>
  <sheetFormatPr baseColWidth="10" defaultRowHeight="15"/>
  <cols>
    <col min="3" max="3" width="15.42578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STEAM SPEED IN PIPE</vt:lpstr>
      <vt:lpstr>STEAM JACKETED EQUIP.</vt:lpstr>
      <vt:lpstr>WATER SPEED IN PIPE</vt:lpstr>
      <vt:lpstr>Hoja1</vt:lpstr>
      <vt:lpstr>Cv valve for steam SPENCE</vt:lpstr>
      <vt:lpstr>Valve Kv for calculations</vt:lpstr>
      <vt:lpstr>Flujo_vapor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Angel</cp:lastModifiedBy>
  <dcterms:created xsi:type="dcterms:W3CDTF">2018-03-08T01:51:53Z</dcterms:created>
  <dcterms:modified xsi:type="dcterms:W3CDTF">2020-07-10T20:49:40Z</dcterms:modified>
</cp:coreProperties>
</file>